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jodilingan/iCloud Drive (Archive)/"/>
    </mc:Choice>
  </mc:AlternateContent>
  <xr:revisionPtr revIDLastSave="0" documentId="8_{5DD57D94-79B5-6A44-B733-798EA4FCFB03}" xr6:coauthVersionLast="47" xr6:coauthVersionMax="47" xr10:uidLastSave="{00000000-0000-0000-0000-000000000000}"/>
  <bookViews>
    <workbookView xWindow="340" yWindow="760" windowWidth="28460" windowHeight="16240" activeTab="1" xr2:uid="{00000000-000D-0000-FFFF-FFFF00000000}"/>
  </bookViews>
  <sheets>
    <sheet name="START" sheetId="2" r:id="rId1"/>
    <sheet name="PERSONAL BUDGET" sheetId="1" r:id="rId2"/>
  </sheets>
  <definedNames>
    <definedName name="LastCol">COUNTA('PERSONAL BUDGET'!$4:$4)+1</definedName>
    <definedName name="PrintArea_SET">OFFSET('PERSONAL BUDGET'!$C$2,,,MATCH(REPT("z",255),'PERSONAL BUDGET'!$C:$C),LastCol)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7" i="1" l="1"/>
  <c r="P22" i="1"/>
  <c r="P36" i="1"/>
  <c r="P33" i="1"/>
  <c r="P34" i="1"/>
  <c r="P35" i="1"/>
  <c r="O41" i="1"/>
  <c r="N41" i="1"/>
  <c r="M41" i="1"/>
  <c r="L41" i="1"/>
  <c r="K41" i="1"/>
  <c r="J41" i="1"/>
  <c r="I41" i="1"/>
  <c r="H41" i="1"/>
  <c r="G41" i="1"/>
  <c r="F41" i="1"/>
  <c r="E41" i="1"/>
  <c r="D41" i="1"/>
  <c r="D30" i="1"/>
  <c r="P37" i="1"/>
  <c r="P40" i="1"/>
  <c r="P39" i="1"/>
  <c r="P38" i="1"/>
  <c r="P27" i="1"/>
  <c r="P8" i="1"/>
  <c r="P9" i="1"/>
  <c r="Q2" i="1"/>
  <c r="P41" i="1" l="1"/>
  <c r="E48" i="1"/>
  <c r="F48" i="1"/>
  <c r="G48" i="1"/>
  <c r="H48" i="1"/>
  <c r="I48" i="1"/>
  <c r="J48" i="1"/>
  <c r="K48" i="1"/>
  <c r="L48" i="1"/>
  <c r="M48" i="1"/>
  <c r="N48" i="1"/>
  <c r="O48" i="1"/>
  <c r="D48" i="1"/>
  <c r="E30" i="1"/>
  <c r="F30" i="1"/>
  <c r="G30" i="1"/>
  <c r="H30" i="1"/>
  <c r="I30" i="1"/>
  <c r="J30" i="1"/>
  <c r="K30" i="1"/>
  <c r="L30" i="1"/>
  <c r="M30" i="1"/>
  <c r="N30" i="1"/>
  <c r="O30" i="1"/>
  <c r="E23" i="1"/>
  <c r="F23" i="1"/>
  <c r="G23" i="1"/>
  <c r="H23" i="1"/>
  <c r="I23" i="1"/>
  <c r="J23" i="1"/>
  <c r="K23" i="1"/>
  <c r="L23" i="1"/>
  <c r="M23" i="1"/>
  <c r="N23" i="1"/>
  <c r="O23" i="1"/>
  <c r="D23" i="1"/>
  <c r="P44" i="1"/>
  <c r="P45" i="1"/>
  <c r="P46" i="1"/>
  <c r="P47" i="1"/>
  <c r="P28" i="1"/>
  <c r="P29" i="1"/>
  <c r="P26" i="1"/>
  <c r="P21" i="1"/>
  <c r="P20" i="1"/>
  <c r="E17" i="1"/>
  <c r="F17" i="1"/>
  <c r="G17" i="1"/>
  <c r="H17" i="1"/>
  <c r="I17" i="1"/>
  <c r="J17" i="1"/>
  <c r="K17" i="1"/>
  <c r="L17" i="1"/>
  <c r="M17" i="1"/>
  <c r="N17" i="1"/>
  <c r="D17" i="1"/>
  <c r="P16" i="1"/>
  <c r="P15" i="1"/>
  <c r="E51" i="1" l="1"/>
  <c r="I51" i="1"/>
  <c r="O51" i="1"/>
  <c r="M51" i="1"/>
  <c r="F51" i="1"/>
  <c r="J51" i="1"/>
  <c r="N51" i="1"/>
  <c r="P17" i="1"/>
  <c r="K51" i="1"/>
  <c r="G51" i="1"/>
  <c r="H51" i="1"/>
  <c r="L51" i="1"/>
  <c r="P30" i="1"/>
  <c r="P23" i="1"/>
  <c r="P48" i="1"/>
  <c r="O11" i="1"/>
  <c r="O53" i="1" s="1" a="1"/>
  <c r="O53" i="1" s="1"/>
  <c r="G11" i="1"/>
  <c r="L11" i="1"/>
  <c r="N11" i="1"/>
  <c r="F11" i="1"/>
  <c r="E11" i="1"/>
  <c r="E53" i="1" s="1" a="1"/>
  <c r="E53" i="1" s="1"/>
  <c r="I11" i="1"/>
  <c r="I53" i="1" s="1" a="1"/>
  <c r="I53" i="1" s="1"/>
  <c r="H11" i="1"/>
  <c r="D11" i="1"/>
  <c r="M11" i="1"/>
  <c r="K11" i="1"/>
  <c r="K53" i="1" s="1" a="1"/>
  <c r="K53" i="1" s="1"/>
  <c r="P10" i="1"/>
  <c r="P7" i="1"/>
  <c r="J11" i="1"/>
  <c r="P6" i="1"/>
  <c r="F53" i="1" l="1" a="1"/>
  <c r="F53" i="1" s="1"/>
  <c r="H53" i="1" a="1"/>
  <c r="H53" i="1" s="1"/>
  <c r="N53" i="1" a="1"/>
  <c r="N53" i="1" s="1"/>
  <c r="D51" i="1"/>
  <c r="D53" i="1" s="1" a="1"/>
  <c r="D53" i="1" s="1"/>
  <c r="L53" i="1" a="1"/>
  <c r="L53" i="1" s="1"/>
  <c r="J53" i="1" a="1"/>
  <c r="J53" i="1" s="1"/>
  <c r="M53" i="1" a="1"/>
  <c r="M53" i="1" s="1"/>
  <c r="G53" i="1" a="1"/>
  <c r="G53" i="1" s="1"/>
  <c r="P51" i="1"/>
  <c r="P11" i="1"/>
  <c r="P53" i="1" s="1" a="1"/>
  <c r="P5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<sst xmlns="http://schemas.openxmlformats.org/spreadsheetml/2006/main" count="198" uniqueCount="97">
  <si>
    <t>Utilities</t>
  </si>
  <si>
    <t xml:space="preserve">   Other</t>
  </si>
  <si>
    <t>Total expenses</t>
  </si>
  <si>
    <t>Total</t>
  </si>
  <si>
    <t>INCOME</t>
  </si>
  <si>
    <t>EXPENSES</t>
  </si>
  <si>
    <t>JAN</t>
  </si>
  <si>
    <t>FEB</t>
  </si>
  <si>
    <t>MAY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</si>
  <si>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</si>
  <si>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</si>
  <si>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</si>
  <si>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</si>
  <si>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</si>
  <si>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</si>
  <si>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</si>
  <si>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</si>
  <si>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</si>
  <si>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YEAR</t>
  </si>
  <si>
    <t>REVENUE</t>
  </si>
  <si>
    <t>March</t>
  </si>
  <si>
    <t>April</t>
  </si>
  <si>
    <t>May</t>
  </si>
  <si>
    <t>June</t>
  </si>
  <si>
    <t>July</t>
  </si>
  <si>
    <t>Year</t>
  </si>
  <si>
    <t>January</t>
  </si>
  <si>
    <t>February</t>
  </si>
  <si>
    <t>August</t>
  </si>
  <si>
    <t>September</t>
  </si>
  <si>
    <t>October</t>
  </si>
  <si>
    <t>November</t>
  </si>
  <si>
    <t>December</t>
  </si>
  <si>
    <t>Sparkline</t>
  </si>
  <si>
    <t>About The Template</t>
  </si>
  <si>
    <t>Use this template to maintain monthly and annual budget.</t>
  </si>
  <si>
    <t>Enter Revenues and Expenses in respective tables to calculate Cash shortage or surplus for each month and year.</t>
  </si>
  <si>
    <t>Sparklines are auto updated in each table.</t>
  </si>
  <si>
    <t>Note: </t>
  </si>
  <si>
    <t>Additional instructions have been provided in column A in PERSONAL BUDGET worksheet. This text has been intentionally hidden. To remove text, select column A, then select DELETE. To unhide text, select column A, then change font color.</t>
  </si>
  <si>
    <t>To learn more about tables, press SHIFT and then F10 within a table, select the TABLE option, and then select ALTERNATIVE TEXT.</t>
  </si>
  <si>
    <t>Create a Simple Personal Budget in this worksheet. Helpful instructions on how to use this worksheet are in cells in this column. Arrow down to get started.</t>
  </si>
  <si>
    <t>Title of this worksheet is in cell at right. Enter year in cell Q2. Next instruction is in cell A4.</t>
  </si>
  <si>
    <t>Labels are in cells C4 through P4.</t>
  </si>
  <si>
    <t>Enter details in Income table starting in cell C5. Next instruction is in cell A11.</t>
  </si>
  <si>
    <t>Labels are in cells C11 through P11.</t>
  </si>
  <si>
    <t>Enter Daily expenses in table starting in cell C20. Next instruction is in cell A29.</t>
  </si>
  <si>
    <t>Enter expenses in Dues and Subscription table starting in cell C71. Next instruction is in cell A81.</t>
  </si>
  <si>
    <t>Enter Financial Obligations in table starting in cell C89. Next instruction is in cell A97.</t>
  </si>
  <si>
    <t>Enter Miscellaneous Payments in table starting in cell C97. Next instruction is in cell A105.</t>
  </si>
  <si>
    <t>Salaries</t>
  </si>
  <si>
    <t>Pastor</t>
  </si>
  <si>
    <t>Moderator</t>
  </si>
  <si>
    <t>Pulpit Supply</t>
  </si>
  <si>
    <t>Janitorial Service</t>
  </si>
  <si>
    <t>Gas</t>
  </si>
  <si>
    <t>Electric</t>
  </si>
  <si>
    <t>Water</t>
  </si>
  <si>
    <t>Congregational Giving</t>
  </si>
  <si>
    <t>Special Offerings</t>
  </si>
  <si>
    <t>Refunds/Miscellaneous</t>
  </si>
  <si>
    <t>Transfer from Savngs</t>
  </si>
  <si>
    <t>Pianist</t>
  </si>
  <si>
    <t>Building And Grounds</t>
  </si>
  <si>
    <t>Maintenance</t>
  </si>
  <si>
    <t>Copier</t>
  </si>
  <si>
    <t>Operating Expenses</t>
  </si>
  <si>
    <t>Insurance</t>
  </si>
  <si>
    <t>Benevolence</t>
  </si>
  <si>
    <t>Two Cents a Meal</t>
  </si>
  <si>
    <t>Surry Medical Ministries</t>
  </si>
  <si>
    <t>Children's Center of Surry</t>
  </si>
  <si>
    <t>Shepherd's House</t>
  </si>
  <si>
    <t>Discretionary Fund</t>
  </si>
  <si>
    <t>$25.00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</si>
  <si>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</si>
  <si>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</si>
  <si>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</si>
  <si>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</si>
  <si>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</si>
  <si>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</si>
  <si>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</si>
  <si>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</si>
  <si>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</si>
  <si>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</si>
  <si>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</si>
  <si>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</si>
  <si>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</si>
  <si>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 xml:space="preserve">   Salem Presbytery Per Capita</t>
  </si>
  <si>
    <t>Miscellaneous</t>
  </si>
  <si>
    <t>Total Revenue</t>
  </si>
  <si>
    <t>Column14</t>
  </si>
  <si>
    <t>Column15</t>
  </si>
  <si>
    <r>
      <t xml:space="preserve">   </t>
    </r>
    <r>
      <rPr>
        <b/>
        <sz val="10"/>
        <color theme="1" tint="0.14993743705557422"/>
        <rFont val="verdana"/>
        <family val="2"/>
        <scheme val="minor"/>
      </rPr>
      <t>Delta</t>
    </r>
  </si>
  <si>
    <t xml:space="preserve">Acme Presbyterian Church Annual Budget - 2022 </t>
  </si>
  <si>
    <t>Acme Elementary Backpack</t>
  </si>
  <si>
    <t>Rental Receipts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</si>
</sst>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&quot;$&quot;#,##0.00"/>
  </numFmts>
  <fonts count="26" x14ac:knownFonts="1">
    <font>
      <sz val="10"/>
      <color theme="1" tint="0.14993743705557422"/>
      <name val="verdana"/>
      <family val="2"/>
      <scheme val="minor"/>
    </font>
    <font>
      <b/>
      <sz val="10"/>
      <color theme="1" tint="0.14990691854609822"/>
      <name val="Gill Sans MT"/>
      <family val="2"/>
      <scheme val="major"/>
    </font>
    <font>
      <sz val="11"/>
      <color theme="1" tint="0.14993743705557422"/>
      <name val="Gill Sans MT"/>
      <family val="2"/>
      <scheme val="major"/>
    </font>
    <font>
      <sz val="22"/>
      <color theme="1" tint="0.14993743705557422"/>
      <name val="Gill Sans MT"/>
      <family val="2"/>
      <scheme val="major"/>
    </font>
    <font>
      <sz val="10"/>
      <color theme="4" tint="-0.499984740745262"/>
      <name val="verdana"/>
      <family val="2"/>
      <scheme val="minor"/>
    </font>
    <font>
      <sz val="11"/>
      <color theme="1" tint="0.34998626667073579"/>
      <name val="Gill Sans MT"/>
      <family val="2"/>
      <scheme val="major"/>
    </font>
    <font>
      <b/>
      <sz val="10"/>
      <color theme="4"/>
      <name val="Gill Sans MT"/>
      <family val="2"/>
      <scheme val="major"/>
    </font>
    <font>
      <sz val="10"/>
      <color theme="0"/>
      <name val="verdana"/>
      <family val="2"/>
      <scheme val="minor"/>
    </font>
    <font>
      <b/>
      <sz val="10"/>
      <color theme="0"/>
      <name val="Gill Sans MT"/>
      <family val="2"/>
      <scheme val="major"/>
    </font>
    <font>
      <b/>
      <sz val="10"/>
      <color theme="4"/>
      <name val="verdana"/>
      <family val="2"/>
      <scheme val="minor"/>
    </font>
    <font>
      <b/>
      <sz val="10"/>
      <color theme="5"/>
      <name val="verdana"/>
      <family val="2"/>
      <scheme val="minor"/>
    </font>
    <font>
      <b/>
      <sz val="25"/>
      <color rgb="FF000000"/>
      <name val="Gill Sans MT"/>
      <family val="2"/>
    </font>
    <font>
      <sz val="10"/>
      <color theme="5" tint="0.79998168889431442"/>
      <name val="verdana"/>
      <family val="2"/>
      <scheme val="minor"/>
    </font>
    <font>
      <sz val="10"/>
      <color theme="4" tint="0.79998168889431442"/>
      <name val="verdana"/>
      <family val="2"/>
      <scheme val="minor"/>
    </font>
    <font>
      <sz val="16"/>
      <color theme="0"/>
      <name val="Arial"/>
      <family val="2"/>
    </font>
    <font>
      <sz val="11"/>
      <color theme="1" tint="0.14993743705557422"/>
      <name val="Calibri"/>
      <family val="2"/>
    </font>
    <font>
      <b/>
      <sz val="11"/>
      <color theme="1" tint="0.14993743705557422"/>
      <name val="Calibri"/>
      <family val="2"/>
    </font>
    <font>
      <sz val="10"/>
      <color rgb="FFF7F7F7"/>
      <name val="verdana"/>
      <family val="2"/>
      <scheme val="minor"/>
    </font>
    <font>
      <sz val="11"/>
      <color rgb="FFF7F7F7"/>
      <name val="Calibri"/>
      <family val="2"/>
    </font>
    <font>
      <b/>
      <sz val="10"/>
      <color theme="1"/>
      <name val="Gill Sans MT"/>
      <family val="2"/>
      <scheme val="major"/>
    </font>
    <font>
      <sz val="8"/>
      <name val="verdana"/>
      <family val="2"/>
      <scheme val="minor"/>
    </font>
    <font>
      <b/>
      <sz val="11"/>
      <color rgb="FFC00000"/>
      <name val="Gill Sans MT (Headings)"/>
    </font>
    <font>
      <b/>
      <sz val="11"/>
      <color theme="4"/>
      <name val="Gill Sans MT (Headings)"/>
    </font>
    <font>
      <b/>
      <sz val="10"/>
      <color theme="4" tint="-0.499984740745262"/>
      <name val="verdana"/>
      <family val="2"/>
      <scheme val="minor"/>
    </font>
    <font>
      <b/>
      <sz val="10"/>
      <color theme="1"/>
      <name val="verdana"/>
      <family val="2"/>
      <scheme val="minor"/>
    </font>
    <font>
      <b/>
      <sz val="10"/>
      <color theme="1" tint="0.14993743705557422"/>
      <name val="verdana"/>
      <family val="2"/>
      <scheme val="minor"/>
    </font>
  </fonts>
  <fills count="18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5" tint="0.80001220740379042"/>
        </stop>
      </gradient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thick">
        <color theme="4"/>
      </right>
      <top/>
      <bottom/>
      <diagonal/>
    </border>
    <border>
      <left/>
      <right style="thick">
        <color theme="5"/>
      </right>
      <top/>
      <bottom/>
      <diagonal/>
    </border>
    <border>
      <left style="thick">
        <color theme="5"/>
      </left>
      <right/>
      <top/>
      <bottom/>
      <diagonal/>
    </border>
    <border>
      <left style="medium">
        <color theme="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theme="4"/>
      </left>
      <right/>
      <top/>
      <bottom style="thick">
        <color theme="0"/>
      </bottom>
      <diagonal/>
    </border>
    <border>
      <left style="thick">
        <color theme="5"/>
      </left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n">
        <color theme="4"/>
      </bottom>
      <diagonal/>
    </border>
  </borders>
  <cellStyleXfs count="5">
    <xf numFmtId="0" fontId="0" fillId="13" borderId="0">
      <alignment vertical="center"/>
    </xf>
    <xf numFmtId="0" fontId="3" fillId="0" borderId="0" applyNumberFormat="0" applyFill="0" applyProtection="0">
      <alignment vertical="center"/>
    </xf>
    <xf numFmtId="0" fontId="2" fillId="0" borderId="1" applyNumberFormat="0" applyFill="0" applyProtection="0">
      <alignment vertical="center"/>
    </xf>
    <xf numFmtId="0" fontId="1" fillId="5" borderId="0" applyNumberFormat="0" applyProtection="0">
      <alignment horizontal="left" vertical="center" indent="1"/>
    </xf>
    <xf numFmtId="0" fontId="1" fillId="2" borderId="0" applyNumberFormat="0" applyProtection="0">
      <alignment vertical="center"/>
    </xf>
  </cellStyleXfs>
  <cellXfs count="68">
    <xf numFmtId="0" fontId="0" fillId="13" borderId="0" xfId="0">
      <alignment vertical="center"/>
    </xf>
    <xf numFmtId="0" fontId="0" fillId="13" borderId="0" xfId="0" applyAlignment="1">
      <alignment horizontal="right" vertical="center"/>
    </xf>
    <xf numFmtId="164" fontId="0" fillId="0" borderId="0" xfId="0" applyNumberForma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horizontal="left" vertical="center" indent="1"/>
    </xf>
    <xf numFmtId="0" fontId="4" fillId="0" borderId="0" xfId="0" applyFont="1" applyFill="1" applyAlignment="1">
      <alignment horizontal="left" vertical="center" indent="1"/>
    </xf>
    <xf numFmtId="0" fontId="5" fillId="0" borderId="0" xfId="2" applyFont="1" applyFill="1" applyBorder="1" applyAlignment="1">
      <alignment horizontal="right" vertical="center"/>
    </xf>
    <xf numFmtId="0" fontId="6" fillId="0" borderId="0" xfId="3" applyFont="1" applyFill="1">
      <alignment horizontal="left" vertical="center" indent="1"/>
    </xf>
    <xf numFmtId="164" fontId="0" fillId="6" borderId="0" xfId="0" applyNumberFormat="1" applyFill="1" applyAlignment="1">
      <alignment horizontal="right" vertical="center"/>
    </xf>
    <xf numFmtId="164" fontId="4" fillId="6" borderId="0" xfId="0" applyNumberFormat="1" applyFont="1" applyFill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0" fillId="11" borderId="0" xfId="0" applyFill="1" applyAlignment="1">
      <alignment horizontal="left" vertical="center" indent="1"/>
    </xf>
    <xf numFmtId="164" fontId="0" fillId="11" borderId="0" xfId="0" applyNumberFormat="1" applyFill="1" applyAlignment="1">
      <alignment horizontal="right" vertical="center"/>
    </xf>
    <xf numFmtId="0" fontId="9" fillId="0" borderId="0" xfId="0" applyFont="1" applyFill="1" applyAlignment="1">
      <alignment horizontal="left" vertical="center" indent="1"/>
    </xf>
    <xf numFmtId="0" fontId="10" fillId="0" borderId="0" xfId="0" applyFont="1" applyFill="1" applyAlignment="1">
      <alignment horizontal="left" vertical="center" indent="1"/>
    </xf>
    <xf numFmtId="0" fontId="0" fillId="4" borderId="0" xfId="0" applyFill="1">
      <alignment vertical="center"/>
    </xf>
    <xf numFmtId="0" fontId="0" fillId="3" borderId="0" xfId="0" applyFill="1">
      <alignment vertical="center"/>
    </xf>
    <xf numFmtId="0" fontId="8" fillId="9" borderId="0" xfId="3" applyFont="1" applyFill="1">
      <alignment horizontal="left" vertical="center" indent="1"/>
    </xf>
    <xf numFmtId="0" fontId="8" fillId="9" borderId="0" xfId="3" applyFont="1" applyFill="1" applyAlignment="1">
      <alignment horizontal="right" vertical="center"/>
    </xf>
    <xf numFmtId="0" fontId="8" fillId="10" borderId="0" xfId="3" applyFont="1" applyFill="1" applyAlignment="1">
      <alignment horizontal="right" vertical="center"/>
    </xf>
    <xf numFmtId="0" fontId="0" fillId="13" borderId="4" xfId="0" applyBorder="1">
      <alignment vertical="center"/>
    </xf>
    <xf numFmtId="0" fontId="0" fillId="13" borderId="5" xfId="0" applyBorder="1">
      <alignment vertical="center"/>
    </xf>
    <xf numFmtId="0" fontId="6" fillId="11" borderId="0" xfId="0" applyFont="1" applyFill="1" applyAlignment="1">
      <alignment horizontal="left" vertical="center" indent="1"/>
    </xf>
    <xf numFmtId="0" fontId="0" fillId="0" borderId="6" xfId="0" applyFill="1" applyBorder="1" applyAlignment="1">
      <alignment horizontal="left" vertical="center" indent="1"/>
    </xf>
    <xf numFmtId="0" fontId="0" fillId="13" borderId="2" xfId="0" applyBorder="1" applyAlignment="1">
      <alignment horizontal="right" vertical="center"/>
    </xf>
    <xf numFmtId="0" fontId="4" fillId="6" borderId="8" xfId="0" applyFont="1" applyFill="1" applyBorder="1" applyAlignment="1">
      <alignment horizontal="right" vertical="center"/>
    </xf>
    <xf numFmtId="0" fontId="7" fillId="11" borderId="0" xfId="0" applyFont="1" applyFill="1">
      <alignment vertical="center"/>
    </xf>
    <xf numFmtId="0" fontId="7" fillId="0" borderId="0" xfId="0" applyFont="1" applyFill="1" applyAlignment="1">
      <alignment horizontal="right" vertical="center"/>
    </xf>
    <xf numFmtId="0" fontId="12" fillId="8" borderId="0" xfId="0" applyFont="1" applyFill="1" applyAlignment="1">
      <alignment horizontal="right" vertical="center"/>
    </xf>
    <xf numFmtId="0" fontId="0" fillId="6" borderId="9" xfId="0" applyFill="1" applyBorder="1" applyAlignment="1">
      <alignment horizontal="left" vertical="center" indent="1"/>
    </xf>
    <xf numFmtId="164" fontId="0" fillId="7" borderId="8" xfId="0" applyNumberFormat="1" applyFill="1" applyBorder="1" applyAlignment="1">
      <alignment horizontal="right" vertical="center"/>
    </xf>
    <xf numFmtId="164" fontId="0" fillId="6" borderId="8" xfId="0" applyNumberFormat="1" applyFill="1" applyBorder="1" applyAlignment="1">
      <alignment horizontal="right" vertical="center"/>
    </xf>
    <xf numFmtId="0" fontId="0" fillId="6" borderId="8" xfId="0" applyFill="1" applyBorder="1" applyAlignment="1">
      <alignment horizontal="right" vertical="center"/>
    </xf>
    <xf numFmtId="0" fontId="0" fillId="6" borderId="10" xfId="0" applyFill="1" applyBorder="1" applyAlignment="1">
      <alignment horizontal="left" vertical="center" indent="1"/>
    </xf>
    <xf numFmtId="164" fontId="0" fillId="12" borderId="8" xfId="0" applyNumberFormat="1" applyFill="1" applyBorder="1" applyAlignment="1">
      <alignment horizontal="right" vertical="center"/>
    </xf>
    <xf numFmtId="0" fontId="14" fillId="14" borderId="0" xfId="0" applyFont="1" applyFill="1" applyAlignment="1">
      <alignment horizontal="center" vertical="center"/>
    </xf>
    <xf numFmtId="0" fontId="15" fillId="13" borderId="0" xfId="0" applyFont="1" applyAlignment="1">
      <alignment vertical="center" wrapText="1"/>
    </xf>
    <xf numFmtId="0" fontId="16" fillId="13" borderId="0" xfId="0" applyFont="1" applyAlignment="1">
      <alignment vertical="center" wrapText="1"/>
    </xf>
    <xf numFmtId="0" fontId="7" fillId="13" borderId="3" xfId="0" applyFont="1" applyBorder="1">
      <alignment vertical="center"/>
    </xf>
    <xf numFmtId="0" fontId="17" fillId="13" borderId="0" xfId="0" applyFont="1" applyAlignment="1">
      <alignment wrapText="1"/>
    </xf>
    <xf numFmtId="0" fontId="18" fillId="13" borderId="0" xfId="0" applyFont="1" applyAlignment="1">
      <alignment vertical="center" wrapText="1"/>
    </xf>
    <xf numFmtId="0" fontId="19" fillId="9" borderId="0" xfId="3" applyFont="1" applyFill="1">
      <alignment horizontal="left" vertical="center" indent="1"/>
    </xf>
    <xf numFmtId="0" fontId="0" fillId="6" borderId="0" xfId="0" applyFill="1" applyAlignment="1">
      <alignment horizontal="left" vertical="center" indent="1"/>
    </xf>
    <xf numFmtId="0" fontId="0" fillId="6" borderId="0" xfId="0" applyFill="1" applyAlignment="1">
      <alignment horizontal="right" vertical="center"/>
    </xf>
    <xf numFmtId="0" fontId="21" fillId="0" borderId="0" xfId="2" applyFont="1" applyFill="1" applyBorder="1" applyAlignment="1">
      <alignment horizontal="left" vertical="center" indent="1"/>
    </xf>
    <xf numFmtId="0" fontId="22" fillId="0" borderId="0" xfId="2" applyFont="1" applyFill="1" applyBorder="1" applyAlignment="1">
      <alignment horizontal="left" vertical="center" indent="1"/>
    </xf>
    <xf numFmtId="0" fontId="0" fillId="0" borderId="0" xfId="0" applyFill="1">
      <alignment vertical="center"/>
    </xf>
    <xf numFmtId="0" fontId="13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12" fillId="0" borderId="0" xfId="0" applyFont="1" applyFill="1" applyAlignment="1">
      <alignment horizontal="right" vertical="center"/>
    </xf>
    <xf numFmtId="164" fontId="23" fillId="16" borderId="8" xfId="0" applyNumberFormat="1" applyFont="1" applyFill="1" applyBorder="1" applyAlignment="1">
      <alignment horizontal="right" vertical="center"/>
    </xf>
    <xf numFmtId="0" fontId="23" fillId="6" borderId="7" xfId="0" applyFont="1" applyFill="1" applyBorder="1" applyAlignment="1">
      <alignment horizontal="left" vertical="center" indent="1"/>
    </xf>
    <xf numFmtId="164" fontId="23" fillId="6" borderId="8" xfId="0" applyNumberFormat="1" applyFont="1" applyFill="1" applyBorder="1" applyAlignment="1">
      <alignment horizontal="right" vertical="center"/>
    </xf>
    <xf numFmtId="164" fontId="0" fillId="8" borderId="8" xfId="0" applyNumberFormat="1" applyFill="1" applyBorder="1" applyAlignment="1">
      <alignment horizontal="right" vertical="center"/>
    </xf>
    <xf numFmtId="164" fontId="0" fillId="8" borderId="0" xfId="0" applyNumberFormat="1" applyFill="1" applyAlignment="1">
      <alignment horizontal="right" vertical="center"/>
    </xf>
    <xf numFmtId="164" fontId="0" fillId="0" borderId="8" xfId="0" applyNumberFormat="1" applyFill="1" applyBorder="1" applyAlignment="1">
      <alignment horizontal="right" vertical="center"/>
    </xf>
    <xf numFmtId="0" fontId="24" fillId="15" borderId="0" xfId="0" applyFont="1" applyFill="1">
      <alignment vertical="center"/>
    </xf>
    <xf numFmtId="0" fontId="24" fillId="15" borderId="0" xfId="0" applyFont="1" applyFill="1" applyAlignment="1">
      <alignment horizontal="left" vertical="center" indent="1"/>
    </xf>
    <xf numFmtId="164" fontId="24" fillId="15" borderId="0" xfId="0" applyNumberFormat="1" applyFont="1" applyFill="1" applyAlignment="1">
      <alignment horizontal="right" vertical="center"/>
    </xf>
    <xf numFmtId="0" fontId="24" fillId="0" borderId="0" xfId="0" applyFont="1" applyFill="1" applyAlignment="1">
      <alignment wrapText="1"/>
    </xf>
    <xf numFmtId="0" fontId="24" fillId="0" borderId="0" xfId="0" applyFont="1" applyFill="1">
      <alignment vertical="center"/>
    </xf>
    <xf numFmtId="0" fontId="0" fillId="17" borderId="0" xfId="0" applyFill="1">
      <alignment vertical="center"/>
    </xf>
    <xf numFmtId="8" fontId="25" fillId="17" borderId="0" xfId="0" applyNumberFormat="1" applyFont="1" applyFill="1" applyAlignment="1">
      <alignment horizontal="right" vertical="center"/>
    </xf>
    <xf numFmtId="0" fontId="0" fillId="13" borderId="12" xfId="0" applyBorder="1">
      <alignment vertical="center"/>
    </xf>
    <xf numFmtId="0" fontId="11" fillId="13" borderId="0" xfId="0" applyFont="1" applyAlignment="1"/>
    <xf numFmtId="0" fontId="0" fillId="13" borderId="3" xfId="0" applyBorder="1">
      <alignment vertical="center"/>
    </xf>
    <xf numFmtId="0" fontId="0" fillId="13" borderId="0" xfId="0">
      <alignment vertical="center"/>
    </xf>
    <xf numFmtId="0" fontId="0" fillId="13" borderId="11" xfId="0" applyBorder="1">
      <alignment vertical="center"/>
    </xf>
  </cellXfs>
  <cellStyles count="5"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hidden="1" customBuiltin="1"/>
    <cellStyle name="Normal" xfId="0" builtinId="0" customBuiltin="1"/>
  </cellStyles>
  <dxfs count="2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8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8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8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8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8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8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8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medium">
          <color theme="4"/>
        </left>
        <right/>
        <top/>
        <bottom style="thick">
          <color theme="0"/>
        </bottom>
      </border>
    </dxf>
    <dxf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 style="thick">
          <color theme="5"/>
        </left>
        <right/>
        <top/>
        <bottom/>
      </border>
    </dxf>
    <dxf>
      <numFmt numFmtId="164" formatCode="&quot;$&quot;#,##0.00"/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0" relativeIndent="1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2"/>
        </patternFill>
      </fill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2"/>
        </patternFill>
      </fill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2"/>
        </patternFill>
      </fill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2"/>
        </patternFill>
      </fill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2"/>
        </patternFill>
      </fill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2"/>
        </patternFill>
      </fill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2"/>
        </patternFill>
      </fill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2"/>
        </patternFill>
      </fill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2"/>
        </patternFill>
      </fill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2"/>
        </patternFill>
      </fill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2"/>
        </patternFill>
      </fill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2"/>
        </patternFill>
      </fill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2"/>
        </patternFill>
      </fill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numFmt numFmtId="164" formatCode="&quot;$&quot;#,##0.00"/>
      <fill>
        <patternFill patternType="solid">
          <fgColor indexed="64"/>
          <bgColor theme="2"/>
        </patternFill>
      </fill>
      <alignment horizontal="right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fill>
        <patternFill patternType="solid">
          <fgColor indexed="64"/>
          <bgColor theme="2"/>
        </patternFill>
      </fill>
      <alignment horizontal="left" vertical="center" textRotation="0" wrapText="0" relativeIndent="1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fill>
        <patternFill patternType="solid">
          <fgColor indexed="64"/>
          <bgColor theme="2"/>
        </patternFill>
      </fill>
    </dxf>
    <dxf>
      <font>
        <strike val="0"/>
        <outline val="0"/>
        <shadow val="0"/>
        <u val="none"/>
        <vertAlign val="baseline"/>
        <sz val="10"/>
        <color theme="0"/>
        <name val="Gill Sans MT"/>
        <family val="2"/>
        <scheme val="major"/>
      </font>
      <fill>
        <patternFill patternType="solid">
          <fgColor indexed="64"/>
          <bgColor theme="1"/>
        </patternFill>
      </fill>
    </dxf>
    <dxf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ck">
          <color theme="4"/>
        </left>
        <right/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ck">
          <color theme="4"/>
        </left>
        <right/>
        <top/>
        <bottom style="thick">
          <color theme="0"/>
        </bottom>
      </border>
    </dxf>
    <dxf>
      <fill>
        <patternFill patternType="none">
          <bgColor auto="1"/>
        </patternFill>
      </fill>
      <alignment horizontal="left" vertical="center" textRotation="0" wrapText="0" relativeIndent="1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5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5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5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5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5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5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5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ck">
          <color theme="5"/>
        </left>
        <right/>
        <top/>
        <bottom style="thick">
          <color theme="0"/>
        </bottom>
      </border>
    </dxf>
    <dxf>
      <fill>
        <patternFill patternType="none">
          <bgColor auto="1"/>
        </patternFill>
      </fill>
      <alignment horizontal="left" vertical="center" textRotation="0" wrapText="0" relativeIndent="1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numFmt numFmtId="164" formatCode="&quot;$&quot;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 style="thick">
          <color theme="0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ck">
          <color theme="4"/>
        </left>
        <right/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4" tint="-0.499984740745262"/>
        <name val="verdana"/>
        <family val="2"/>
        <scheme val="minor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 val="0"/>
        <i val="0"/>
        <color theme="6" tint="-0.499984740745262"/>
      </font>
      <fill>
        <patternFill patternType="solid">
          <fgColor theme="6" tint="0.79998168889431442"/>
          <bgColor theme="6" tint="0.79998168889431442"/>
        </patternFill>
      </fill>
    </dxf>
    <dxf>
      <font>
        <b val="0"/>
        <i val="0"/>
        <color theme="6" tint="-0.499984740745262"/>
      </font>
      <fill>
        <patternFill patternType="solid">
          <fgColor theme="6" tint="0.79998168889431442"/>
          <bgColor theme="6" tint="0.79998168889431442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/>
        <i val="0"/>
        <color theme="6" tint="-0.499984740745262"/>
      </font>
      <fill>
        <patternFill>
          <bgColor theme="6" tint="0.79998168889431442"/>
        </patternFill>
      </fill>
    </dxf>
    <dxf>
      <font>
        <b val="0"/>
        <i val="0"/>
        <color theme="6" tint="-0.499984740745262"/>
      </font>
      <border>
        <top style="thin">
          <color theme="6" tint="-0.24994659260841701"/>
        </top>
      </border>
    </dxf>
    <dxf>
      <font>
        <b val="0"/>
        <i val="0"/>
        <color theme="6" tint="-0.499984740745262"/>
      </font>
      <border>
        <bottom style="thin">
          <color theme="6" tint="-0.24994659260841701"/>
        </bottom>
      </border>
    </dxf>
    <dxf>
      <font>
        <b val="0"/>
        <i val="0"/>
        <color theme="6" tint="-0.499984740745262"/>
      </font>
      <border>
        <top style="thin">
          <color theme="6" tint="-0.24994659260841701"/>
        </top>
        <bottom style="thin">
          <color theme="6" tint="-0.24994659260841701"/>
        </bottom>
      </border>
    </dxf>
    <dxf>
      <font>
        <b/>
        <i val="0"/>
        <color theme="5" tint="-0.499984740745262"/>
      </font>
      <fill>
        <patternFill>
          <bgColor theme="5" tint="0.79998168889431442"/>
        </patternFill>
      </fill>
    </dxf>
    <dxf>
      <font>
        <b/>
        <i val="0"/>
        <color theme="5" tint="-0.499984740745262"/>
      </font>
      <fill>
        <patternFill>
          <bgColor theme="5" tint="0.79998168889431442"/>
        </patternFill>
      </fill>
    </dxf>
    <dxf>
      <font>
        <b val="0"/>
        <i val="0"/>
        <color theme="5" tint="-0.499984740745262"/>
      </font>
      <fill>
        <patternFill patternType="solid">
          <fgColor theme="5" tint="0.79998168889431442"/>
          <bgColor theme="5" tint="0.79998168889431442"/>
        </patternFill>
      </fill>
    </dxf>
    <dxf>
      <font>
        <b val="0"/>
        <i val="0"/>
        <color theme="5" tint="-0.499984740745262"/>
      </font>
      <fill>
        <patternFill patternType="solid">
          <fgColor theme="5" tint="0.79998168889431442"/>
          <bgColor theme="5" tint="0.79998168889431442"/>
        </patternFill>
      </fill>
    </dxf>
    <dxf>
      <font>
        <b/>
        <i val="0"/>
        <color theme="5" tint="-0.499984740745262"/>
      </font>
      <fill>
        <patternFill>
          <bgColor theme="5" tint="0.79998168889431442"/>
        </patternFill>
      </fill>
    </dxf>
    <dxf>
      <font>
        <b/>
        <i val="0"/>
        <color theme="5" tint="-0.499984740745262"/>
      </font>
    </dxf>
    <dxf>
      <font>
        <b val="0"/>
        <i val="0"/>
        <color theme="5" tint="-0.499984740745262"/>
      </font>
      <border>
        <top style="thin">
          <color theme="5" tint="-0.24994659260841701"/>
        </top>
      </border>
    </dxf>
    <dxf>
      <font>
        <b val="0"/>
        <i val="0"/>
        <color theme="5" tint="-0.499984740745262"/>
      </font>
      <border>
        <bottom style="thin">
          <color theme="5" tint="-0.24994659260841701"/>
        </bottom>
      </border>
    </dxf>
    <dxf>
      <font>
        <b val="0"/>
        <i val="0"/>
        <color theme="5" tint="-0.499984740745262"/>
      </font>
      <border>
        <top style="thin">
          <color theme="5" tint="-0.24994659260841701"/>
        </top>
        <bottom style="thin">
          <color theme="5" tint="-0.24994659260841701"/>
        </bottom>
      </border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 val="0"/>
        <i val="0"/>
        <color theme="4" tint="-0.499984740745262"/>
      </font>
      <fill>
        <patternFill>
          <bgColor theme="4" tint="0.79998168889431442"/>
        </patternFill>
      </fill>
    </dxf>
    <dxf>
      <font>
        <b val="0"/>
        <i val="0"/>
        <color theme="4" tint="-0.499984740745262"/>
      </font>
      <fill>
        <patternFill patternType="solid">
          <fgColor theme="4" tint="0.79995117038483843"/>
          <bgColor theme="4" tint="0.79998168889431442"/>
        </patternFill>
      </fill>
    </dxf>
    <dxf>
      <font>
        <b/>
        <i val="0"/>
        <color theme="4" tint="-0.499984740745262"/>
      </font>
      <fill>
        <patternFill>
          <bgColor theme="4" tint="0.79998168889431442"/>
        </patternFill>
      </fill>
    </dxf>
    <dxf>
      <font>
        <b/>
        <i val="0"/>
        <color theme="4" tint="-0.499984740745262"/>
      </font>
    </dxf>
    <dxf>
      <font>
        <b val="0"/>
        <i val="0"/>
        <color theme="4" tint="-0.499984740745262"/>
      </font>
      <fill>
        <patternFill patternType="none">
          <bgColor auto="1"/>
        </patternFill>
      </fill>
      <border>
        <top style="thin">
          <color theme="4" tint="-0.24994659260841701"/>
        </top>
      </border>
    </dxf>
    <dxf>
      <border diagonalUp="0" diagonalDown="0">
        <left/>
        <right/>
        <top/>
        <bottom style="thin">
          <color theme="4" tint="-0.499984740745262"/>
        </bottom>
        <vertical/>
        <horizontal/>
      </border>
    </dxf>
    <dxf>
      <font>
        <b val="0"/>
        <i val="0"/>
        <color theme="4" tint="-0.499984740745262"/>
      </font>
      <border>
        <top style="thin">
          <color theme="4" tint="-0.24994659260841701"/>
        </top>
        <bottom style="thin">
          <color theme="4" tint="-0.24994659260841701"/>
        </bottom>
      </border>
    </dxf>
  </dxfs>
  <tableStyles count="3" defaultTableStyle="Personal Budget - Expense" defaultPivotStyle="PivotStyleLight16">
    <tableStyle name="Persona Budget - Revenue" pivot="0" count="9" xr9:uid="{00000000-0011-0000-FFFF-FFFF00000000}">
      <tableStyleElement type="wholeTable" dxfId="223"/>
      <tableStyleElement type="headerRow" dxfId="222"/>
      <tableStyleElement type="totalRow" dxfId="221"/>
      <tableStyleElement type="firstColumn" dxfId="220"/>
      <tableStyleElement type="lastColumn" dxfId="219"/>
      <tableStyleElement type="firstRowStripe" dxfId="218"/>
      <tableStyleElement type="firstColumnStripe" dxfId="217"/>
      <tableStyleElement type="firstTotalCell" dxfId="216"/>
      <tableStyleElement type="lastTotalCell" dxfId="215"/>
    </tableStyle>
    <tableStyle name="Personal Budget - Expense" pivot="0" count="9" xr9:uid="{00000000-0011-0000-FFFF-FFFF01000000}">
      <tableStyleElement type="wholeTable" dxfId="214"/>
      <tableStyleElement type="headerRow" dxfId="213"/>
      <tableStyleElement type="totalRow" dxfId="212"/>
      <tableStyleElement type="firstColumn" dxfId="211"/>
      <tableStyleElement type="lastColumn" dxfId="210"/>
      <tableStyleElement type="firstRowStripe" dxfId="209"/>
      <tableStyleElement type="firstColumnStripe" dxfId="208"/>
      <tableStyleElement type="firstTotalCell" dxfId="207"/>
      <tableStyleElement type="lastTotalCell" dxfId="206"/>
    </tableStyle>
    <tableStyle name="Personal Budget - Total" pivot="0" count="9" xr9:uid="{00000000-0011-0000-FFFF-FFFF02000000}">
      <tableStyleElement type="wholeTable" dxfId="205"/>
      <tableStyleElement type="headerRow" dxfId="204"/>
      <tableStyleElement type="totalRow" dxfId="203"/>
      <tableStyleElement type="firstColumn" dxfId="202"/>
      <tableStyleElement type="lastColumn" dxfId="201"/>
      <tableStyleElement type="firstRowStripe" dxfId="200"/>
      <tableStyleElement type="firstColumnStripe" dxfId="199"/>
      <tableStyleElement type="firstTotalCell" dxfId="198"/>
      <tableStyleElement type="lastTotalCell" dxfId="197"/>
    </tableStyle>
  </tableStyles>
  <colors>
    <mruColors>
      <color rgb="FFF7F7F7"/>
      <color rgb="FFF3F8FF"/>
      <color rgb="FFE6F8FA"/>
      <color rgb="FFEFF5FF"/>
      <color rgb="FFD6E8F6"/>
      <color rgb="FFE6EF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29765</xdr:colOff>
      <xdr:row>1</xdr:row>
      <xdr:rowOff>188141</xdr:rowOff>
    </xdr:from>
    <xdr:to>
      <xdr:col>19</xdr:col>
      <xdr:colOff>56224</xdr:colOff>
      <xdr:row>2</xdr:row>
      <xdr:rowOff>9526</xdr:rowOff>
    </xdr:to>
    <xdr:sp macro="" textlink="$Q$2">
      <xdr:nvSpPr>
        <xdr:cNvPr id="3" name="Rectangle 2" descr="Year">
          <a:extLst>
            <a:ext uri="{FF2B5EF4-FFF2-40B4-BE49-F238E27FC236}">
              <a16:creationId xmlns:a16="http://schemas.microsoft.com/office/drawing/2014/main" id="{38DB6D2F-4C80-408C-A4C7-B9C2F6BEA823}"/>
            </a:ext>
          </a:extLst>
        </xdr:cNvPr>
        <xdr:cNvSpPr/>
      </xdr:nvSpPr>
      <xdr:spPr>
        <a:xfrm flipH="1">
          <a:off x="15111015" y="346891"/>
          <a:ext cx="932656" cy="267869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5844B8A-4141-4FF4-9316-6625FB86BF57}" type="TxLink">
            <a:rPr lang="en-US" sz="1000" b="1" i="0" u="none" strike="noStrike">
              <a:solidFill>
                <a:schemeClr val="bg1"/>
              </a:solidFill>
              <a:latin typeface="verdana"/>
              <a:ea typeface="verdana"/>
              <a:cs typeface="verdana"/>
            </a:rPr>
            <a:pPr algn="ctr"/>
            <a:t>2023</a:t>
          </a:fld>
          <a:endParaRPr lang="en-US" sz="1200" b="1">
            <a:solidFill>
              <a:schemeClr val="bg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come" displayName="Income" ref="C5:Q11" totalsRowCount="1" headerRowDxfId="196" dataDxfId="195" totalsRowDxfId="194">
  <autoFilter ref="C5:Q1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0000000-0010-0000-0000-000001000000}" name="INCOME" totalsRowLabel="Total Revenue" totalsRowDxfId="14"/>
    <tableColumn id="2" xr3:uid="{00000000-0010-0000-0000-000002000000}" name="January" totalsRowFunction="sum" totalsRowDxfId="13"/>
    <tableColumn id="3" xr3:uid="{00000000-0010-0000-0000-000003000000}" name="February" totalsRowFunction="sum" totalsRowDxfId="12"/>
    <tableColumn id="4" xr3:uid="{00000000-0010-0000-0000-000004000000}" name="March" totalsRowFunction="sum" totalsRowDxfId="11"/>
    <tableColumn id="5" xr3:uid="{00000000-0010-0000-0000-000005000000}" name="April" totalsRowFunction="sum" totalsRowDxfId="10"/>
    <tableColumn id="6" xr3:uid="{00000000-0010-0000-0000-000006000000}" name="May" totalsRowFunction="sum" totalsRowDxfId="9"/>
    <tableColumn id="7" xr3:uid="{00000000-0010-0000-0000-000007000000}" name="June" totalsRowFunction="sum" totalsRowDxfId="8"/>
    <tableColumn id="8" xr3:uid="{00000000-0010-0000-0000-000008000000}" name="July" totalsRowFunction="sum" totalsRowDxfId="7"/>
    <tableColumn id="9" xr3:uid="{00000000-0010-0000-0000-000009000000}" name="August" totalsRowFunction="sum" totalsRowDxfId="6"/>
    <tableColumn id="10" xr3:uid="{00000000-0010-0000-0000-00000A000000}" name="September" totalsRowFunction="sum" totalsRowDxfId="5"/>
    <tableColumn id="11" xr3:uid="{00000000-0010-0000-0000-00000B000000}" name="October" totalsRowFunction="sum" totalsRowDxfId="4"/>
    <tableColumn id="12" xr3:uid="{00000000-0010-0000-0000-00000C000000}" name="November" totalsRowFunction="sum" totalsRowDxfId="3"/>
    <tableColumn id="13" xr3:uid="{00000000-0010-0000-0000-00000D000000}" name="December" totalsRowFunction="sum" totalsRowDxfId="2"/>
    <tableColumn id="14" xr3:uid="{00000000-0010-0000-0000-00000E000000}" name="Year" totalsRowFunction="sum" totalsRowDxfId="1">
      <calculatedColumnFormula>SUM(Income[[#This Row],[January]:[December]])</calculatedColumnFormula>
    </tableColumn>
    <tableColumn id="15" xr3:uid="{00000000-0010-0000-0000-00000F000000}" name="Sparkline" totalsRowDxfId="0"/>
  </tableColumns>
  <tableStyleInfo showFirstColumn="1" showLastColumn="0" showRowStripes="0" showColumnStripes="1"/>
  <extLst>
    <ext xmlns:x14="http://schemas.microsoft.com/office/spreadsheetml/2009/9/main" uri="{504A1905-F514-4f6f-8877-14C23A59335A}">
      <x14:table altTextSummary="Enter Income items and monthly amounts in this table. Annual amount and monthly Totals are auto calculated and sparklines are update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Daily" displayName="Daily" ref="C14:Q17" totalsRowCount="1" headerRowDxfId="193" dataDxfId="192" totalsRowDxfId="191">
  <autoFilter ref="C14:Q1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0000000-0010-0000-0200-000001000000}" name="Building And Grounds" totalsRowLabel="Total" totalsRowDxfId="190"/>
    <tableColumn id="2" xr3:uid="{00000000-0010-0000-0200-000002000000}" name="Column1" totalsRowFunction="sum" dataDxfId="189" totalsRowDxfId="188"/>
    <tableColumn id="3" xr3:uid="{00000000-0010-0000-0200-000003000000}" name="Column2" totalsRowFunction="sum" dataDxfId="187" totalsRowDxfId="186"/>
    <tableColumn id="4" xr3:uid="{00000000-0010-0000-0200-000004000000}" name="Column3" totalsRowFunction="sum" dataDxfId="185" totalsRowDxfId="184"/>
    <tableColumn id="5" xr3:uid="{00000000-0010-0000-0200-000005000000}" name="Column4" totalsRowFunction="sum" dataDxfId="183" totalsRowDxfId="182"/>
    <tableColumn id="6" xr3:uid="{00000000-0010-0000-0200-000006000000}" name="Column5" totalsRowFunction="sum" dataDxfId="181" totalsRowDxfId="180"/>
    <tableColumn id="7" xr3:uid="{00000000-0010-0000-0200-000007000000}" name="Column6" totalsRowFunction="sum" dataDxfId="179" totalsRowDxfId="178"/>
    <tableColumn id="8" xr3:uid="{00000000-0010-0000-0200-000008000000}" name="Column7" totalsRowFunction="sum" dataDxfId="177" totalsRowDxfId="176"/>
    <tableColumn id="9" xr3:uid="{00000000-0010-0000-0200-000009000000}" name="Column8" totalsRowFunction="sum" dataDxfId="175" totalsRowDxfId="174"/>
    <tableColumn id="10" xr3:uid="{00000000-0010-0000-0200-00000A000000}" name="Column9" totalsRowFunction="sum" dataDxfId="173" totalsRowDxfId="172"/>
    <tableColumn id="11" xr3:uid="{00000000-0010-0000-0200-00000B000000}" name="Column10" totalsRowFunction="sum" dataDxfId="171" totalsRowDxfId="170"/>
    <tableColumn id="12" xr3:uid="{00000000-0010-0000-0200-00000C000000}" name="Column11" totalsRowFunction="sum" dataDxfId="169" totalsRowDxfId="168"/>
    <tableColumn id="13" xr3:uid="{00000000-0010-0000-0200-00000D000000}" name="Column12" totalsRowFunction="sum" dataDxfId="167" totalsRowDxfId="166"/>
    <tableColumn id="14" xr3:uid="{00000000-0010-0000-0200-00000E000000}" name="Column13" totalsRowFunction="custom" dataDxfId="165" totalsRowDxfId="164">
      <calculatedColumnFormula>SUM(Daily[[#This Row],[Column1]:[Column12]])</calculatedColumnFormula>
      <totalsRowFormula>SUM(Daily[[#Totals],[Column1]:[Column12]])</totalsRowFormula>
    </tableColumn>
    <tableColumn id="15" xr3:uid="{00000000-0010-0000-0200-00000F000000}" name="Sparkline" totalsRowDxfId="163"/>
  </tableColumns>
  <tableStyleInfo showFirstColumn="1" showLastColumn="0" showRowStripes="0" showColumnStripes="1"/>
  <extLst>
    <ext xmlns:x14="http://schemas.microsoft.com/office/spreadsheetml/2009/9/main" uri="{504A1905-F514-4f6f-8877-14C23A59335A}">
      <x14:table altTextSummary="Enter Daily expense items and monthly amounts in this table. Annual amount and monthly Totals are auto calculated and sparklines are update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DuesAndSubscription" displayName="DuesAndSubscription" ref="C19:Q23" totalsRowCount="1" headerRowDxfId="162" dataDxfId="161" totalsRowDxfId="160">
  <autoFilter ref="C19:Q22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0000000-0010-0000-0800-000001000000}" name="Utilities" totalsRowLabel="Total" dataDxfId="159" totalsRowDxfId="158"/>
    <tableColumn id="2" xr3:uid="{00000000-0010-0000-0800-000002000000}" name="January" totalsRowFunction="sum" dataDxfId="157" totalsRowDxfId="156"/>
    <tableColumn id="3" xr3:uid="{00000000-0010-0000-0800-000003000000}" name="February" totalsRowFunction="sum" dataDxfId="155" totalsRowDxfId="154"/>
    <tableColumn id="4" xr3:uid="{00000000-0010-0000-0800-000004000000}" name="March" totalsRowFunction="sum" dataDxfId="153" totalsRowDxfId="152"/>
    <tableColumn id="5" xr3:uid="{00000000-0010-0000-0800-000005000000}" name="April" totalsRowFunction="sum" dataDxfId="151" totalsRowDxfId="150"/>
    <tableColumn id="6" xr3:uid="{00000000-0010-0000-0800-000006000000}" name="May" totalsRowFunction="sum" dataDxfId="149" totalsRowDxfId="148"/>
    <tableColumn id="7" xr3:uid="{00000000-0010-0000-0800-000007000000}" name="June" totalsRowFunction="sum" dataDxfId="147" totalsRowDxfId="146"/>
    <tableColumn id="8" xr3:uid="{00000000-0010-0000-0800-000008000000}" name="July" totalsRowFunction="sum" dataDxfId="145" totalsRowDxfId="144"/>
    <tableColumn id="9" xr3:uid="{00000000-0010-0000-0800-000009000000}" name="August" totalsRowFunction="sum" dataDxfId="143" totalsRowDxfId="142"/>
    <tableColumn id="10" xr3:uid="{00000000-0010-0000-0800-00000A000000}" name="September" totalsRowFunction="sum" dataDxfId="141" totalsRowDxfId="140"/>
    <tableColumn id="11" xr3:uid="{00000000-0010-0000-0800-00000B000000}" name="October" totalsRowFunction="sum" dataDxfId="139" totalsRowDxfId="138"/>
    <tableColumn id="12" xr3:uid="{00000000-0010-0000-0800-00000C000000}" name="November" totalsRowFunction="sum" dataDxfId="137" totalsRowDxfId="136"/>
    <tableColumn id="13" xr3:uid="{00000000-0010-0000-0800-00000D000000}" name="December" totalsRowFunction="sum" dataDxfId="135" totalsRowDxfId="134"/>
    <tableColumn id="14" xr3:uid="{00000000-0010-0000-0800-00000E000000}" name="Year" totalsRowFunction="sum" dataDxfId="133" totalsRowDxfId="132">
      <calculatedColumnFormula>SUM(DuesAndSubscription[[#This Row],[January]:[December]])</calculatedColumnFormula>
    </tableColumn>
    <tableColumn id="15" xr3:uid="{00000000-0010-0000-0800-00000F000000}" name="Sparkline" dataDxfId="131" totalsRowDxfId="130"/>
  </tableColumns>
  <tableStyleInfo showFirstColumn="1" showLastColumn="0" showRowStripes="0" showColumnStripes="1"/>
  <extLst>
    <ext xmlns:x14="http://schemas.microsoft.com/office/spreadsheetml/2009/9/main" uri="{504A1905-F514-4f6f-8877-14C23A59335A}">
      <x14:table altTextSummary="Enter Dues and Subscription items and monthly amounts in this table. Annual amount and monthly Totals are auto calculated and sparklines are updated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Financial" displayName="Financial" ref="C25:Q30" totalsRowCount="1" headerRowDxfId="129" dataDxfId="128" totalsRowDxfId="127">
  <autoFilter ref="C25:Q29" xr:uid="{00000000-0009-0000-0100-00000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0000000-0010-0000-0A00-000001000000}" name="Salaries" totalsRowLabel="Total" dataDxfId="126" totalsRowDxfId="125"/>
    <tableColumn id="2" xr3:uid="{00000000-0010-0000-0A00-000002000000}" name="January" totalsRowFunction="custom" dataDxfId="124" totalsRowDxfId="123">
      <totalsRowFormula>SUM(Financial[January])</totalsRowFormula>
    </tableColumn>
    <tableColumn id="3" xr3:uid="{00000000-0010-0000-0A00-000003000000}" name="February" totalsRowFunction="sum" dataDxfId="122" totalsRowDxfId="121"/>
    <tableColumn id="4" xr3:uid="{00000000-0010-0000-0A00-000004000000}" name="March" totalsRowFunction="sum" dataDxfId="120" totalsRowDxfId="119"/>
    <tableColumn id="5" xr3:uid="{00000000-0010-0000-0A00-000005000000}" name="April" totalsRowFunction="sum" dataDxfId="118" totalsRowDxfId="117"/>
    <tableColumn id="6" xr3:uid="{00000000-0010-0000-0A00-000006000000}" name="May" totalsRowFunction="sum" dataDxfId="116" totalsRowDxfId="115"/>
    <tableColumn id="7" xr3:uid="{00000000-0010-0000-0A00-000007000000}" name="June" totalsRowFunction="sum" dataDxfId="114" totalsRowDxfId="113"/>
    <tableColumn id="8" xr3:uid="{00000000-0010-0000-0A00-000008000000}" name="July" totalsRowFunction="sum" dataDxfId="112" totalsRowDxfId="111"/>
    <tableColumn id="9" xr3:uid="{00000000-0010-0000-0A00-000009000000}" name="August" totalsRowFunction="sum" dataDxfId="110" totalsRowDxfId="109"/>
    <tableColumn id="10" xr3:uid="{00000000-0010-0000-0A00-00000A000000}" name="September" totalsRowFunction="sum" dataDxfId="108" totalsRowDxfId="107"/>
    <tableColumn id="11" xr3:uid="{00000000-0010-0000-0A00-00000B000000}" name="October" totalsRowFunction="sum" dataDxfId="106" totalsRowDxfId="105"/>
    <tableColumn id="12" xr3:uid="{00000000-0010-0000-0A00-00000C000000}" name="November" totalsRowFunction="sum" dataDxfId="104" totalsRowDxfId="103"/>
    <tableColumn id="13" xr3:uid="{00000000-0010-0000-0A00-00000D000000}" name="December" totalsRowFunction="sum" dataDxfId="102" totalsRowDxfId="101"/>
    <tableColumn id="14" xr3:uid="{00000000-0010-0000-0A00-00000E000000}" name="Year" totalsRowFunction="sum" dataDxfId="100" totalsRowDxfId="99">
      <calculatedColumnFormula>SUM(Financial[[#This Row],[January]:[December]])</calculatedColumnFormula>
    </tableColumn>
    <tableColumn id="15" xr3:uid="{00000000-0010-0000-0A00-00000F000000}" name="Sparkline" dataDxfId="98" totalsRowDxfId="97"/>
  </tableColumns>
  <tableStyleInfo showFirstColumn="1" showLastColumn="0" showRowStripes="0" showColumnStripes="1"/>
  <extLst>
    <ext xmlns:x14="http://schemas.microsoft.com/office/spreadsheetml/2009/9/main" uri="{504A1905-F514-4f6f-8877-14C23A59335A}">
      <x14:table altTextSummary="Enter Financial Obligations items and monthly amounts in this table. Annual amount and monthly Totals are auto calculated and sparklines are update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Misc" displayName="Misc" ref="C43:Q48" totalsRowCount="1" headerRowDxfId="96" dataDxfId="95" totalsRowDxfId="94">
  <autoFilter ref="C43:Q47" xr:uid="{00000000-0009-0000-0100-00000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0000000-0010-0000-0B00-000001000000}" name="Miscellaneous" totalsRowLabel="Total" totalsRowDxfId="93"/>
    <tableColumn id="2" xr3:uid="{00000000-0010-0000-0B00-000002000000}" name="January" totalsRowFunction="sum" dataDxfId="92" totalsRowDxfId="91"/>
    <tableColumn id="3" xr3:uid="{00000000-0010-0000-0B00-000003000000}" name="February" totalsRowFunction="sum" dataDxfId="90" totalsRowDxfId="89"/>
    <tableColumn id="4" xr3:uid="{00000000-0010-0000-0B00-000004000000}" name="March" totalsRowFunction="sum" dataDxfId="88" totalsRowDxfId="87"/>
    <tableColumn id="5" xr3:uid="{00000000-0010-0000-0B00-000005000000}" name="April" totalsRowFunction="sum" dataDxfId="86" totalsRowDxfId="85"/>
    <tableColumn id="6" xr3:uid="{00000000-0010-0000-0B00-000006000000}" name="May" totalsRowFunction="sum" dataDxfId="84" totalsRowDxfId="83"/>
    <tableColumn id="7" xr3:uid="{00000000-0010-0000-0B00-000007000000}" name="June" totalsRowFunction="sum" dataDxfId="82" totalsRowDxfId="81"/>
    <tableColumn id="8" xr3:uid="{00000000-0010-0000-0B00-000008000000}" name="July" totalsRowFunction="sum" dataDxfId="80" totalsRowDxfId="79"/>
    <tableColumn id="9" xr3:uid="{00000000-0010-0000-0B00-000009000000}" name="August" totalsRowFunction="sum" dataDxfId="78" totalsRowDxfId="77"/>
    <tableColumn id="10" xr3:uid="{00000000-0010-0000-0B00-00000A000000}" name="September" totalsRowFunction="sum" dataDxfId="76" totalsRowDxfId="75"/>
    <tableColumn id="11" xr3:uid="{00000000-0010-0000-0B00-00000B000000}" name="October" totalsRowFunction="sum" dataDxfId="74" totalsRowDxfId="73"/>
    <tableColumn id="12" xr3:uid="{00000000-0010-0000-0B00-00000C000000}" name="November" totalsRowFunction="sum" dataDxfId="72" totalsRowDxfId="71"/>
    <tableColumn id="13" xr3:uid="{00000000-0010-0000-0B00-00000D000000}" name="December" totalsRowFunction="sum" dataDxfId="70" totalsRowDxfId="69"/>
    <tableColumn id="14" xr3:uid="{00000000-0010-0000-0B00-00000E000000}" name="Year" totalsRowFunction="sum" dataDxfId="68" totalsRowDxfId="67">
      <calculatedColumnFormula>SUM(Misc[[#This Row],[January]:[December]])</calculatedColumnFormula>
    </tableColumn>
    <tableColumn id="15" xr3:uid="{00000000-0010-0000-0B00-00000F000000}" name="Sparkline" dataDxfId="66" totalsRowDxfId="65"/>
  </tableColumns>
  <tableStyleInfo showFirstColumn="1" showLastColumn="0" showRowStripes="0" showColumnStripes="1"/>
  <extLst>
    <ext xmlns:x14="http://schemas.microsoft.com/office/spreadsheetml/2009/9/main" uri="{504A1905-F514-4f6f-8877-14C23A59335A}">
      <x14:table altTextSummary="Enter Miscellaneous items and payments in this table. Annual amount and monthly Totals are auto calculated and sparklines are updated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otals" displayName="Totals" ref="C50:Q51" totalsRowShown="0" headerRowDxfId="64" dataDxfId="63" headerRowCellStyle="Heading 3">
  <tableColumns count="15">
    <tableColumn id="1" xr3:uid="{00000000-0010-0000-0C00-000001000000}" name="Column1" dataDxfId="62"/>
    <tableColumn id="2" xr3:uid="{00000000-0010-0000-0C00-000002000000}" name="Column2" dataDxfId="61">
      <calculatedColumnFormula>SUM(Income[[#Totals],[January]]-Daily[[#Totals],[Column1]]-DuesAndSubscription[[#Totals],[January]]-Financial[[#Totals],[January]]-D40-Misc[[#Totals],[January]])</calculatedColumnFormula>
    </tableColumn>
    <tableColumn id="3" xr3:uid="{00000000-0010-0000-0C00-000003000000}" name="Column3" dataDxfId="60">
      <calculatedColumnFormula>SUM(Daily[[#Totals],[Column1]]+DuesAndSubscription[[#Totals],[January]]+Financial[[#Totals],[January]]+E41+Misc[[#Totals],[February]])</calculatedColumnFormula>
    </tableColumn>
    <tableColumn id="4" xr3:uid="{00000000-0010-0000-0C00-000004000000}" name="Column4" dataDxfId="59">
      <calculatedColumnFormula>SUM(Daily[[#Totals],[Column1]]+DuesAndSubscription[[#Totals],[January]]+Financial[[#Totals],[January]]+F41+Misc[[#Totals],[March]])</calculatedColumnFormula>
    </tableColumn>
    <tableColumn id="5" xr3:uid="{00000000-0010-0000-0C00-000005000000}" name="Column5" dataDxfId="58">
      <calculatedColumnFormula>SUM(Daily[[#Totals],[Column1]]+DuesAndSubscription[[#Totals],[January]]+Financial[[#Totals],[January]]+G41+Misc[[#Totals],[April]])</calculatedColumnFormula>
    </tableColumn>
    <tableColumn id="6" xr3:uid="{00000000-0010-0000-0C00-000006000000}" name="Column6" dataDxfId="57">
      <calculatedColumnFormula>SUM(Daily[[#Totals],[Column1]]+DuesAndSubscription[[#Totals],[January]]+Financial[[#Totals],[January]]+H41+Misc[[#Totals],[May]])</calculatedColumnFormula>
    </tableColumn>
    <tableColumn id="7" xr3:uid="{00000000-0010-0000-0C00-000007000000}" name="Column7" dataDxfId="56">
      <calculatedColumnFormula>SUM(Daily[[#Totals],[Column1]]+DuesAndSubscription[[#Totals],[January]]+Financial[[#Totals],[January]]+I41+Misc[[#Totals],[June]])</calculatedColumnFormula>
    </tableColumn>
    <tableColumn id="8" xr3:uid="{00000000-0010-0000-0C00-000008000000}" name="Column8" dataDxfId="55">
      <calculatedColumnFormula>SUM(Daily[[#Totals],[Column1]]+DuesAndSubscription[[#Totals],[January]]+Financial[[#Totals],[January]]+J41+Misc[[#Totals],[July]])</calculatedColumnFormula>
    </tableColumn>
    <tableColumn id="9" xr3:uid="{00000000-0010-0000-0C00-000009000000}" name="Column9" dataDxfId="54">
      <calculatedColumnFormula>SUM(Daily[[#Totals],[Column1]]+DuesAndSubscription[[#Totals],[January]]+Financial[[#Totals],[January]]+K41+Misc[[#Totals],[August]])</calculatedColumnFormula>
    </tableColumn>
    <tableColumn id="10" xr3:uid="{00000000-0010-0000-0C00-00000A000000}" name="Column10" dataDxfId="53">
      <calculatedColumnFormula>SUM(Daily[[#Totals],[Column1]]+DuesAndSubscription[[#Totals],[January]]+Financial[[#Totals],[January]]+L41+Misc[[#Totals],[September]])</calculatedColumnFormula>
    </tableColumn>
    <tableColumn id="11" xr3:uid="{00000000-0010-0000-0C00-00000B000000}" name="Column11" dataDxfId="52">
      <calculatedColumnFormula>SUM(Daily[[#Totals],[Column1]]+DuesAndSubscription[[#Totals],[January]]+Financial[[#Totals],[January]]+M41+Misc[[#Totals],[October]])</calculatedColumnFormula>
    </tableColumn>
    <tableColumn id="12" xr3:uid="{00000000-0010-0000-0C00-00000C000000}" name="Column12" dataDxfId="51">
      <calculatedColumnFormula>SUM(Daily[[#Totals],[Column1]]+DuesAndSubscription[[#Totals],[January]]+Financial[[#Totals],[January]]+N41+Misc[[#Totals],[November]])</calculatedColumnFormula>
    </tableColumn>
    <tableColumn id="13" xr3:uid="{00000000-0010-0000-0C00-00000D000000}" name="Column13" dataDxfId="50">
      <calculatedColumnFormula>SUM(Misc[[#Totals],[December]]+O41+Financial[[#Totals],[December]]+DuesAndSubscription[[#Totals],[December]]+Daily[[#Totals],[Column12]])</calculatedColumnFormula>
    </tableColumn>
    <tableColumn id="14" xr3:uid="{00000000-0010-0000-0C00-00000E000000}" name="Column14" dataDxfId="49">
      <calculatedColumnFormula>SUM(Daily[[#Totals],[Column13]]+DuesAndSubscription[[#Totals],[Year]]+Financial[[#Totals],[Year]]+P41+Misc[[#Totals],[Year]])</calculatedColumnFormula>
    </tableColumn>
    <tableColumn id="15" xr3:uid="{00000000-0010-0000-0C00-00000F000000}" name="Column15" dataDxfId="48"/>
  </tableColumns>
  <tableStyleInfo showFirstColumn="1" showLastColumn="0" showRowStripes="0" showColumnStripes="1"/>
  <extLst>
    <ext xmlns:x14="http://schemas.microsoft.com/office/spreadsheetml/2009/9/main" uri="{504A1905-F514-4f6f-8877-14C23A59335A}">
      <x14:table altTextSummary="Total expenses and Cash shortage or surplus are auto calculated for each month and entire year, and sparklines are updated in this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1ABF194-6E97-7F4E-BEBA-864DF4893DF5}" name="DuesAndSubscription5" displayName="DuesAndSubscription5" ref="C32:Q36" totalsRowCount="1" headerRowDxfId="47" dataDxfId="46" totalsRowDxfId="45">
  <autoFilter ref="C32:Q35" xr:uid="{51ABF194-6E97-7F4E-BEBA-864DF4893DF5}"/>
  <tableColumns count="15">
    <tableColumn id="1" xr3:uid="{022C3A60-6124-3741-A3CF-D9B28C253682}" name="Benevolence" totalsRowLabel="Children's Center of Surry" dataDxfId="44" totalsRowDxfId="29"/>
    <tableColumn id="2" xr3:uid="{CA48F643-9A9C-1E46-AB34-802E1B923FC5}" name="January" totalsRowLabel="$25.00" dataDxfId="43" totalsRowDxfId="28"/>
    <tableColumn id="3" xr3:uid="{851E235D-143E-354B-9469-1D75E0A17DCB}" name="February" totalsRowLabel="$25.00" dataDxfId="42" totalsRowDxfId="27"/>
    <tableColumn id="4" xr3:uid="{41FA3F71-8314-9C4F-A35B-BF5038B4D2A5}" name="March" totalsRowLabel="$25.00" dataDxfId="41" totalsRowDxfId="26"/>
    <tableColumn id="5" xr3:uid="{C5026932-1D66-E145-9015-79E9E94FD3AD}" name="April" totalsRowLabel="$25.00" dataDxfId="40" totalsRowDxfId="25"/>
    <tableColumn id="6" xr3:uid="{26A5B532-FCB3-1848-89A5-707B219104FB}" name="May" totalsRowLabel="$25.00" dataDxfId="39" totalsRowDxfId="24"/>
    <tableColumn id="7" xr3:uid="{254CE18F-F91B-E149-8689-4B98281CDF45}" name="June" totalsRowLabel="$25.00" dataDxfId="38" totalsRowDxfId="23"/>
    <tableColumn id="8" xr3:uid="{C665E9A3-8DA5-A84F-9CFF-27B93CB6A875}" name="July" totalsRowLabel="$25.00" dataDxfId="37" totalsRowDxfId="22"/>
    <tableColumn id="9" xr3:uid="{88788A9B-CC2D-3C4B-A0CE-95E148B98A31}" name="August" totalsRowLabel="$25.00" dataDxfId="36" totalsRowDxfId="21"/>
    <tableColumn id="10" xr3:uid="{81230233-E966-0B4C-973A-C74AA9B4001B}" name="September" totalsRowLabel="$25.00" dataDxfId="35" totalsRowDxfId="20"/>
    <tableColumn id="11" xr3:uid="{9674513D-B80C-CD4C-BAA6-4ED4CF4317A9}" name="October" totalsRowLabel="$25.00" dataDxfId="34" totalsRowDxfId="19"/>
    <tableColumn id="12" xr3:uid="{BD7A4D9A-EF3C-DF42-B5AE-5F8D1AC304FD}" name="November" totalsRowLabel="$25.00" dataDxfId="33" totalsRowDxfId="18"/>
    <tableColumn id="13" xr3:uid="{78DBE4AB-5556-6E4E-9145-439B8AE8D7D0}" name="December" totalsRowLabel="$25.00" dataDxfId="32" totalsRowDxfId="17"/>
    <tableColumn id="14" xr3:uid="{C0535763-1F6F-C54A-84D3-42E92798BA4C}" name="Year" totalsRowFunction="custom" dataDxfId="31" totalsRowDxfId="16">
      <calculatedColumnFormula>SUM(DuesAndSubscription5[[#This Row],[January]:[December]])</calculatedColumnFormula>
      <totalsRowFormula>SUM(D37:O37)</totalsRowFormula>
    </tableColumn>
    <tableColumn id="15" xr3:uid="{1629146F-AEB4-E54F-A252-7B90CF675E41}" name="Sparkline" dataDxfId="30" totalsRowDxfId="15"/>
  </tableColumns>
  <tableStyleInfo showFirstColumn="1" showLastColumn="0" showRowStripes="0" showColumnStripes="1"/>
  <extLst>
    <ext xmlns:x14="http://schemas.microsoft.com/office/spreadsheetml/2009/9/main" uri="{504A1905-F514-4f6f-8877-14C23A59335A}">
      <x14:table altTextSummary="Enter Dues and Subscription items and monthly amounts in this table. Annual amount and monthly Totals are auto calculated and sparklines are updated"/>
    </ext>
  </extLst>
</table>
</file>

<file path=xl/theme/theme1.xml><?xml version="1.0" encoding="utf-8"?>
<a:theme xmlns:a="http://schemas.openxmlformats.org/drawingml/2006/main" name="Office Theme">
  <a:themeElements>
    <a:clrScheme name="Custom 23">
      <a:dk1>
        <a:sysClr val="windowText" lastClr="000000"/>
      </a:dk1>
      <a:lt1>
        <a:sysClr val="window" lastClr="FFFFFF"/>
      </a:lt1>
      <a:dk2>
        <a:srgbClr val="304157"/>
      </a:dk2>
      <a:lt2>
        <a:srgbClr val="E7E6E6"/>
      </a:lt2>
      <a:accent1>
        <a:srgbClr val="1B79AD"/>
      </a:accent1>
      <a:accent2>
        <a:srgbClr val="1D7B7D"/>
      </a:accent2>
      <a:accent3>
        <a:srgbClr val="EF4755"/>
      </a:accent3>
      <a:accent4>
        <a:srgbClr val="FFC000"/>
      </a:accent4>
      <a:accent5>
        <a:srgbClr val="176795"/>
      </a:accent5>
      <a:accent6>
        <a:srgbClr val="4D81BF"/>
      </a:accent6>
      <a:hlink>
        <a:srgbClr val="F78F2F"/>
      </a:hlink>
      <a:folHlink>
        <a:srgbClr val="F78F2F"/>
      </a:folHlink>
    </a:clrScheme>
    <a:fontScheme name="Custom 13">
      <a:majorFont>
        <a:latin typeface="Gill Sans MT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57000"/>
                <a:satMod val="101000"/>
              </a:schemeClr>
            </a:gs>
            <a:gs pos="50000">
              <a:schemeClr val="phClr">
                <a:lumMod val="137000"/>
                <a:satMod val="103000"/>
              </a:schemeClr>
            </a:gs>
            <a:gs pos="100000">
              <a:schemeClr val="phClr">
                <a:lumMod val="11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18000"/>
              </a:schemeClr>
            </a:gs>
            <a:gs pos="50000">
              <a:schemeClr val="phClr">
                <a:satMod val="89000"/>
                <a:lumMod val="91000"/>
              </a:schemeClr>
            </a:gs>
            <a:gs pos="100000">
              <a:schemeClr val="phClr">
                <a:lumMod val="6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atMod val="100000"/>
                <a:shade val="0"/>
              </a:schemeClr>
            </a:gs>
            <a:gs pos="0">
              <a:scrgbClr r="0" g="0" b="0"/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0C2F-E990-4355-A214-98D742D3EACA}">
  <sheetPr>
    <tabColor theme="5" tint="-0.249977111117893"/>
  </sheetPr>
  <dimension ref="B1:B7"/>
  <sheetViews>
    <sheetView topLeftCell="B1" workbookViewId="0"/>
  </sheetViews>
  <sheetFormatPr baseColWidth="10" defaultColWidth="8.83203125" defaultRowHeight="13" x14ac:dyDescent="0.15"/>
  <cols>
    <col min="1" max="1" width="2.6640625" customWidth="1"/>
    <col min="2" max="2" width="80.6640625" customWidth="1"/>
    <col min="3" max="3" width="2.6640625" customWidth="1"/>
  </cols>
  <sheetData>
    <row r="1" spans="2:2" ht="30" customHeight="1" x14ac:dyDescent="0.15">
      <c r="B1" s="35" t="s">
        <v>34</v>
      </c>
    </row>
    <row r="2" spans="2:2" ht="30" customHeight="1" x14ac:dyDescent="0.15">
      <c r="B2" s="36" t="s">
        <v>35</v>
      </c>
    </row>
    <row r="3" spans="2:2" ht="30" customHeight="1" x14ac:dyDescent="0.15">
      <c r="B3" s="36" t="s">
        <v>36</v>
      </c>
    </row>
    <row r="4" spans="2:2" ht="30" customHeight="1" x14ac:dyDescent="0.15">
      <c r="B4" s="36" t="s">
        <v>37</v>
      </c>
    </row>
    <row r="5" spans="2:2" ht="30" customHeight="1" x14ac:dyDescent="0.15">
      <c r="B5" s="37" t="s">
        <v>38</v>
      </c>
    </row>
    <row r="6" spans="2:2" ht="61.5" customHeight="1" x14ac:dyDescent="0.15">
      <c r="B6" s="36" t="s">
        <v>39</v>
      </c>
    </row>
    <row r="7" spans="2:2" ht="32" x14ac:dyDescent="0.15">
      <c r="B7" s="36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1:R54"/>
  <sheetViews>
    <sheetView showGridLines="0" tabSelected="1" zoomScale="96" zoomScaleNormal="96" workbookViewId="0">
      <selection activeCell="C8" sqref="C8"/>
    </sheetView>
  </sheetViews>
  <sheetFormatPr baseColWidth="10" defaultColWidth="8.83203125" defaultRowHeight="30" customHeight="1" x14ac:dyDescent="0.15"/>
  <cols>
    <col min="1" max="1" width="4.6640625" style="39" customWidth="1"/>
    <col min="2" max="2" width="1.83203125" customWidth="1"/>
    <col min="3" max="3" width="30.6640625" customWidth="1"/>
    <col min="4" max="16" width="12.33203125" style="1" customWidth="1"/>
    <col min="17" max="17" width="12.33203125" hidden="1" customWidth="1"/>
    <col min="18" max="18" width="2.6640625" customWidth="1"/>
  </cols>
  <sheetData>
    <row r="1" spans="1:17" ht="12.75" customHeight="1" x14ac:dyDescent="0.15">
      <c r="A1" s="39" t="s">
        <v>41</v>
      </c>
    </row>
    <row r="2" spans="1:17" ht="35.25" customHeight="1" thickBot="1" x14ac:dyDescent="0.4">
      <c r="A2" s="40" t="s">
        <v>42</v>
      </c>
      <c r="B2" s="64" t="s">
        <v>94</v>
      </c>
      <c r="C2" s="64"/>
      <c r="D2" s="64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38">
        <f ca="1">YEAR(TODAY())</f>
        <v>2023</v>
      </c>
    </row>
    <row r="3" spans="1:17" ht="26.25" customHeight="1" x14ac:dyDescent="0.15">
      <c r="E3" s="24"/>
    </row>
    <row r="4" spans="1:17" ht="21" customHeight="1" x14ac:dyDescent="0.15">
      <c r="A4" s="39" t="s">
        <v>43</v>
      </c>
      <c r="B4" s="15"/>
      <c r="C4" s="45" t="s">
        <v>19</v>
      </c>
      <c r="D4" s="6" t="s">
        <v>6</v>
      </c>
      <c r="E4" s="6" t="s">
        <v>7</v>
      </c>
      <c r="F4" s="6" t="s">
        <v>9</v>
      </c>
      <c r="G4" s="6" t="s">
        <v>10</v>
      </c>
      <c r="H4" s="6" t="s">
        <v>8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/>
    </row>
    <row r="5" spans="1:17" ht="16" customHeight="1" x14ac:dyDescent="0.15">
      <c r="A5" s="40" t="s">
        <v>44</v>
      </c>
      <c r="B5" s="15"/>
      <c r="C5" s="7" t="s">
        <v>4</v>
      </c>
      <c r="D5" s="26" t="s">
        <v>26</v>
      </c>
      <c r="E5" s="26" t="s">
        <v>27</v>
      </c>
      <c r="F5" s="26" t="s">
        <v>20</v>
      </c>
      <c r="G5" s="26" t="s">
        <v>21</v>
      </c>
      <c r="H5" s="26" t="s">
        <v>22</v>
      </c>
      <c r="I5" s="26" t="s">
        <v>23</v>
      </c>
      <c r="J5" s="26" t="s">
        <v>24</v>
      </c>
      <c r="K5" s="26" t="s">
        <v>28</v>
      </c>
      <c r="L5" s="26" t="s">
        <v>29</v>
      </c>
      <c r="M5" s="26" t="s">
        <v>30</v>
      </c>
      <c r="N5" s="26" t="s">
        <v>31</v>
      </c>
      <c r="O5" s="26" t="s">
        <v>32</v>
      </c>
      <c r="P5" s="26" t="s">
        <v>25</v>
      </c>
      <c r="Q5" s="26" t="s">
        <v>33</v>
      </c>
    </row>
    <row r="6" spans="1:17" ht="16" customHeight="1" x14ac:dyDescent="0.15">
      <c r="B6" s="15"/>
      <c r="C6" s="5" t="s">
        <v>58</v>
      </c>
      <c r="D6" s="3">
        <v>1750</v>
      </c>
      <c r="E6" s="3">
        <v>1750</v>
      </c>
      <c r="F6" s="3">
        <v>1750</v>
      </c>
      <c r="G6" s="3">
        <v>1750</v>
      </c>
      <c r="H6" s="3">
        <v>1750</v>
      </c>
      <c r="I6" s="3">
        <v>1750</v>
      </c>
      <c r="J6" s="3">
        <v>1750</v>
      </c>
      <c r="K6" s="3">
        <v>1750</v>
      </c>
      <c r="L6" s="3">
        <v>1750</v>
      </c>
      <c r="M6" s="3">
        <v>1750</v>
      </c>
      <c r="N6" s="3">
        <v>1750</v>
      </c>
      <c r="O6" s="3">
        <v>1750</v>
      </c>
      <c r="P6" s="3">
        <f>SUM(Income[[#This Row],[January]:[December]])</f>
        <v>21000</v>
      </c>
      <c r="Q6" s="3"/>
    </row>
    <row r="7" spans="1:17" ht="16" customHeight="1" x14ac:dyDescent="0.15">
      <c r="B7" s="15"/>
      <c r="C7" s="5" t="s">
        <v>59</v>
      </c>
      <c r="D7" s="3">
        <v>500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f>SUM(Income[[#This Row],[January]:[December]])</f>
        <v>500</v>
      </c>
      <c r="Q7" s="9"/>
    </row>
    <row r="8" spans="1:17" ht="16" customHeight="1" x14ac:dyDescent="0.15">
      <c r="B8" s="15"/>
      <c r="C8" s="5" t="s">
        <v>96</v>
      </c>
      <c r="D8" s="3">
        <v>350</v>
      </c>
      <c r="E8" s="3">
        <v>350</v>
      </c>
      <c r="F8" s="3">
        <v>350</v>
      </c>
      <c r="G8" s="3">
        <v>350</v>
      </c>
      <c r="H8" s="3">
        <v>350</v>
      </c>
      <c r="I8" s="3">
        <v>350</v>
      </c>
      <c r="J8" s="3">
        <v>350</v>
      </c>
      <c r="K8" s="3">
        <v>350</v>
      </c>
      <c r="L8" s="3">
        <v>350</v>
      </c>
      <c r="M8" s="3">
        <v>350</v>
      </c>
      <c r="N8" s="3">
        <v>350</v>
      </c>
      <c r="O8" s="3">
        <v>350</v>
      </c>
      <c r="P8" s="3">
        <f>SUM(Income[[#This Row],[January]:[December]])</f>
        <v>4200</v>
      </c>
      <c r="Q8" s="9"/>
    </row>
    <row r="9" spans="1:17" ht="16" customHeight="1" x14ac:dyDescent="0.15">
      <c r="B9" s="15"/>
      <c r="C9" s="5" t="s">
        <v>60</v>
      </c>
      <c r="D9" s="3">
        <v>100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f>SUM(Income[[#This Row],[January]:[December]])</f>
        <v>100</v>
      </c>
      <c r="Q9" s="9"/>
    </row>
    <row r="10" spans="1:17" ht="16" customHeight="1" x14ac:dyDescent="0.15">
      <c r="B10" s="15"/>
      <c r="C10" s="5" t="s">
        <v>61</v>
      </c>
      <c r="D10" s="3">
        <v>5695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f>SUM(Income[[#This Row],[January]:[December]])</f>
        <v>5695</v>
      </c>
      <c r="Q10" s="3"/>
    </row>
    <row r="11" spans="1:17" ht="21" customHeight="1" thickBot="1" x14ac:dyDescent="0.2">
      <c r="B11" s="15"/>
      <c r="C11" s="51" t="s">
        <v>90</v>
      </c>
      <c r="D11" s="50">
        <f>SUBTOTAL(109,Income[January])</f>
        <v>8395</v>
      </c>
      <c r="E11" s="52">
        <f>SUBTOTAL(109,Income[February])</f>
        <v>2100</v>
      </c>
      <c r="F11" s="50">
        <f>SUBTOTAL(109,Income[March])</f>
        <v>2100</v>
      </c>
      <c r="G11" s="52">
        <f>SUBTOTAL(109,Income[April])</f>
        <v>2100</v>
      </c>
      <c r="H11" s="50">
        <f>SUBTOTAL(109,Income[May])</f>
        <v>2100</v>
      </c>
      <c r="I11" s="52">
        <f>SUBTOTAL(109,Income[June])</f>
        <v>2100</v>
      </c>
      <c r="J11" s="50">
        <f>SUBTOTAL(109,Income[July])</f>
        <v>2100</v>
      </c>
      <c r="K11" s="52">
        <f>SUBTOTAL(109,Income[August])</f>
        <v>2100</v>
      </c>
      <c r="L11" s="50">
        <f>SUBTOTAL(109,Income[September])</f>
        <v>2100</v>
      </c>
      <c r="M11" s="52">
        <f>SUBTOTAL(109,Income[October])</f>
        <v>2100</v>
      </c>
      <c r="N11" s="50">
        <f>SUBTOTAL(109,Income[November])</f>
        <v>2100</v>
      </c>
      <c r="O11" s="52">
        <f>SUBTOTAL(109,Income[December])</f>
        <v>2100</v>
      </c>
      <c r="P11" s="50">
        <f>SUBTOTAL(109,Income[Year])</f>
        <v>31495</v>
      </c>
      <c r="Q11" s="25"/>
    </row>
    <row r="12" spans="1:17" ht="24" customHeight="1" thickTop="1" x14ac:dyDescent="0.15"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7" ht="21" customHeight="1" x14ac:dyDescent="0.15">
      <c r="A13" s="39" t="s">
        <v>45</v>
      </c>
      <c r="B13" s="16"/>
      <c r="C13" s="44" t="s">
        <v>5</v>
      </c>
      <c r="D13" s="6" t="s">
        <v>6</v>
      </c>
      <c r="E13" s="6" t="s">
        <v>7</v>
      </c>
      <c r="F13" s="6" t="s">
        <v>9</v>
      </c>
      <c r="G13" s="6" t="s">
        <v>10</v>
      </c>
      <c r="H13" s="6" t="s">
        <v>8</v>
      </c>
      <c r="I13" s="6" t="s">
        <v>11</v>
      </c>
      <c r="J13" s="6" t="s">
        <v>12</v>
      </c>
      <c r="K13" s="6" t="s">
        <v>13</v>
      </c>
      <c r="L13" s="6" t="s">
        <v>14</v>
      </c>
      <c r="M13" s="6" t="s">
        <v>15</v>
      </c>
      <c r="N13" s="6" t="s">
        <v>16</v>
      </c>
      <c r="O13" s="6" t="s">
        <v>17</v>
      </c>
      <c r="P13" s="6" t="s">
        <v>18</v>
      </c>
      <c r="Q13" s="6"/>
    </row>
    <row r="14" spans="1:17" ht="16" customHeight="1" x14ac:dyDescent="0.15">
      <c r="A14" s="39" t="s">
        <v>46</v>
      </c>
      <c r="B14" s="20"/>
      <c r="C14" s="22" t="s">
        <v>63</v>
      </c>
      <c r="D14" s="47" t="s">
        <v>75</v>
      </c>
      <c r="E14" s="48" t="s">
        <v>76</v>
      </c>
      <c r="F14" s="47" t="s">
        <v>77</v>
      </c>
      <c r="G14" s="48" t="s">
        <v>78</v>
      </c>
      <c r="H14" s="47" t="s">
        <v>79</v>
      </c>
      <c r="I14" s="48" t="s">
        <v>80</v>
      </c>
      <c r="J14" s="47" t="s">
        <v>81</v>
      </c>
      <c r="K14" s="48" t="s">
        <v>82</v>
      </c>
      <c r="L14" s="47" t="s">
        <v>83</v>
      </c>
      <c r="M14" s="48" t="s">
        <v>84</v>
      </c>
      <c r="N14" s="47" t="s">
        <v>85</v>
      </c>
      <c r="O14" s="48" t="s">
        <v>86</v>
      </c>
      <c r="P14" s="47" t="s">
        <v>87</v>
      </c>
      <c r="Q14" s="26" t="s">
        <v>33</v>
      </c>
    </row>
    <row r="15" spans="1:17" ht="16" customHeight="1" x14ac:dyDescent="0.15">
      <c r="B15" s="20"/>
      <c r="C15" s="11" t="s">
        <v>64</v>
      </c>
      <c r="D15" s="2">
        <v>183</v>
      </c>
      <c r="E15" s="2">
        <v>183</v>
      </c>
      <c r="F15" s="2">
        <v>183</v>
      </c>
      <c r="G15" s="2">
        <v>183</v>
      </c>
      <c r="H15" s="2">
        <v>183</v>
      </c>
      <c r="I15" s="2">
        <v>183</v>
      </c>
      <c r="J15" s="2">
        <v>183</v>
      </c>
      <c r="K15" s="2">
        <v>183</v>
      </c>
      <c r="L15" s="2">
        <v>183</v>
      </c>
      <c r="M15" s="2">
        <v>183</v>
      </c>
      <c r="N15" s="2">
        <v>183</v>
      </c>
      <c r="O15" s="2">
        <v>187</v>
      </c>
      <c r="P15" s="2">
        <f>SUM(Daily[[#This Row],[Column1]:[Column12]])</f>
        <v>2200</v>
      </c>
      <c r="Q15" s="8"/>
    </row>
    <row r="16" spans="1:17" ht="16" customHeight="1" x14ac:dyDescent="0.15">
      <c r="B16" s="20"/>
      <c r="C16" s="11" t="s">
        <v>54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2">
        <f>SUM(Daily[[#This Row],[Column1]:[Column12]])</f>
        <v>0</v>
      </c>
      <c r="Q16" s="12"/>
    </row>
    <row r="17" spans="1:17" ht="21" customHeight="1" thickBot="1" x14ac:dyDescent="0.2">
      <c r="B17" s="20"/>
      <c r="C17" s="29" t="s">
        <v>3</v>
      </c>
      <c r="D17" s="30">
        <f>SUBTOTAL(109,Daily[Column1])</f>
        <v>183</v>
      </c>
      <c r="E17" s="31">
        <f>SUBTOTAL(109,Daily[Column2])</f>
        <v>183</v>
      </c>
      <c r="F17" s="30">
        <f>SUBTOTAL(109,Daily[Column3])</f>
        <v>183</v>
      </c>
      <c r="G17" s="31">
        <f>SUBTOTAL(109,Daily[Column4])</f>
        <v>183</v>
      </c>
      <c r="H17" s="30">
        <f>SUBTOTAL(109,Daily[Column5])</f>
        <v>183</v>
      </c>
      <c r="I17" s="31">
        <f>SUBTOTAL(109,Daily[Column6])</f>
        <v>183</v>
      </c>
      <c r="J17" s="30">
        <f>SUBTOTAL(109,Daily[Column7])</f>
        <v>183</v>
      </c>
      <c r="K17" s="31">
        <f>SUBTOTAL(109,Daily[Column8])</f>
        <v>183</v>
      </c>
      <c r="L17" s="30">
        <f>SUBTOTAL(109,Daily[Column9])</f>
        <v>183</v>
      </c>
      <c r="M17" s="31">
        <f>SUBTOTAL(109,Daily[Column10])</f>
        <v>183</v>
      </c>
      <c r="N17" s="30">
        <f>SUBTOTAL(109,Daily[Column11])</f>
        <v>183</v>
      </c>
      <c r="O17" s="30">
        <f>SUBTOTAL(109,Daily[Column12])</f>
        <v>187</v>
      </c>
      <c r="P17" s="2">
        <f>SUM(Daily[[#Totals],[Column1]:[Column12]])</f>
        <v>2200</v>
      </c>
      <c r="Q17" s="32"/>
    </row>
    <row r="18" spans="1:17" ht="20" customHeight="1" thickTop="1" x14ac:dyDescent="0.15"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</row>
    <row r="19" spans="1:17" ht="21" customHeight="1" x14ac:dyDescent="0.15">
      <c r="A19" s="39" t="s">
        <v>47</v>
      </c>
      <c r="B19" s="21"/>
      <c r="C19" s="13" t="s">
        <v>0</v>
      </c>
      <c r="D19" s="49" t="s">
        <v>26</v>
      </c>
      <c r="E19" s="27" t="s">
        <v>27</v>
      </c>
      <c r="F19" s="49" t="s">
        <v>20</v>
      </c>
      <c r="G19" s="27" t="s">
        <v>21</v>
      </c>
      <c r="H19" s="49" t="s">
        <v>22</v>
      </c>
      <c r="I19" s="27" t="s">
        <v>23</v>
      </c>
      <c r="J19" s="49" t="s">
        <v>24</v>
      </c>
      <c r="K19" s="27" t="s">
        <v>28</v>
      </c>
      <c r="L19" s="49" t="s">
        <v>29</v>
      </c>
      <c r="M19" s="27" t="s">
        <v>30</v>
      </c>
      <c r="N19" s="49" t="s">
        <v>31</v>
      </c>
      <c r="O19" s="27" t="s">
        <v>32</v>
      </c>
      <c r="P19" s="49" t="s">
        <v>25</v>
      </c>
      <c r="Q19" s="27" t="s">
        <v>33</v>
      </c>
    </row>
    <row r="20" spans="1:17" ht="16" customHeight="1" x14ac:dyDescent="0.15">
      <c r="C20" s="23" t="s">
        <v>55</v>
      </c>
      <c r="D20" s="2">
        <v>125</v>
      </c>
      <c r="E20" s="2">
        <v>125</v>
      </c>
      <c r="F20" s="2">
        <v>125</v>
      </c>
      <c r="G20" s="2">
        <v>125</v>
      </c>
      <c r="H20" s="2">
        <v>125</v>
      </c>
      <c r="I20" s="2">
        <v>125</v>
      </c>
      <c r="J20" s="2">
        <v>125</v>
      </c>
      <c r="K20" s="2">
        <v>125</v>
      </c>
      <c r="L20" s="2">
        <v>125</v>
      </c>
      <c r="M20" s="2">
        <v>125</v>
      </c>
      <c r="N20" s="2">
        <v>125</v>
      </c>
      <c r="O20" s="2">
        <v>125</v>
      </c>
      <c r="P20" s="2">
        <f>SUM(DuesAndSubscription[[#This Row],[January]:[December]])</f>
        <v>1500</v>
      </c>
      <c r="Q20" s="2"/>
    </row>
    <row r="21" spans="1:17" ht="16" customHeight="1" x14ac:dyDescent="0.15">
      <c r="B21" s="21"/>
      <c r="C21" s="4" t="s">
        <v>56</v>
      </c>
      <c r="D21" s="2">
        <v>192</v>
      </c>
      <c r="E21" s="2">
        <v>192</v>
      </c>
      <c r="F21" s="2">
        <v>192</v>
      </c>
      <c r="G21" s="2">
        <v>192</v>
      </c>
      <c r="H21" s="2">
        <v>192</v>
      </c>
      <c r="I21" s="2">
        <v>192</v>
      </c>
      <c r="J21" s="2">
        <v>192</v>
      </c>
      <c r="K21" s="2">
        <v>192</v>
      </c>
      <c r="L21" s="2">
        <v>192</v>
      </c>
      <c r="M21" s="2">
        <v>192</v>
      </c>
      <c r="N21" s="2">
        <v>192</v>
      </c>
      <c r="O21" s="2">
        <v>188</v>
      </c>
      <c r="P21" s="2">
        <f>SUM(DuesAndSubscription[[#This Row],[January]:[December]])</f>
        <v>2300</v>
      </c>
      <c r="Q21" s="8"/>
    </row>
    <row r="22" spans="1:17" ht="16" customHeight="1" x14ac:dyDescent="0.15">
      <c r="B22" s="21"/>
      <c r="C22" s="4" t="s">
        <v>57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2">
        <f>SUM(DuesAndSubscription[[#This Row],[January]:[December]])</f>
        <v>0</v>
      </c>
      <c r="Q22" s="2"/>
    </row>
    <row r="23" spans="1:17" ht="21" customHeight="1" thickBot="1" x14ac:dyDescent="0.2">
      <c r="B23" s="21"/>
      <c r="C23" s="33" t="s">
        <v>3</v>
      </c>
      <c r="D23" s="34">
        <f>SUBTOTAL(109,DuesAndSubscription[January])</f>
        <v>317</v>
      </c>
      <c r="E23" s="31">
        <f>SUBTOTAL(109,DuesAndSubscription[February])</f>
        <v>317</v>
      </c>
      <c r="F23" s="34">
        <f>SUBTOTAL(109,DuesAndSubscription[March])</f>
        <v>317</v>
      </c>
      <c r="G23" s="31">
        <f>SUBTOTAL(109,DuesAndSubscription[April])</f>
        <v>317</v>
      </c>
      <c r="H23" s="34">
        <f>SUBTOTAL(109,DuesAndSubscription[May])</f>
        <v>317</v>
      </c>
      <c r="I23" s="31">
        <f>SUBTOTAL(109,DuesAndSubscription[June])</f>
        <v>317</v>
      </c>
      <c r="J23" s="34">
        <f>SUBTOTAL(109,DuesAndSubscription[July])</f>
        <v>317</v>
      </c>
      <c r="K23" s="31">
        <f>SUBTOTAL(109,DuesAndSubscription[August])</f>
        <v>317</v>
      </c>
      <c r="L23" s="34">
        <f>SUBTOTAL(109,DuesAndSubscription[September])</f>
        <v>317</v>
      </c>
      <c r="M23" s="31">
        <f>SUBTOTAL(109,DuesAndSubscription[October])</f>
        <v>317</v>
      </c>
      <c r="N23" s="34">
        <f>SUBTOTAL(109,DuesAndSubscription[November])</f>
        <v>317</v>
      </c>
      <c r="O23" s="31">
        <f>SUBTOTAL(109,DuesAndSubscription[December])</f>
        <v>313</v>
      </c>
      <c r="P23" s="34">
        <f>SUBTOTAL(109,DuesAndSubscription[Year])</f>
        <v>3800</v>
      </c>
      <c r="Q23" s="32"/>
    </row>
    <row r="24" spans="1:17" ht="20" customHeight="1" thickTop="1" x14ac:dyDescent="0.15"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</row>
    <row r="25" spans="1:17" ht="21" customHeight="1" x14ac:dyDescent="0.15">
      <c r="A25" s="39" t="s">
        <v>48</v>
      </c>
      <c r="B25" s="20"/>
      <c r="C25" s="13" t="s">
        <v>50</v>
      </c>
      <c r="D25" s="49" t="s">
        <v>26</v>
      </c>
      <c r="E25" s="27" t="s">
        <v>27</v>
      </c>
      <c r="F25" s="49" t="s">
        <v>20</v>
      </c>
      <c r="G25" s="27" t="s">
        <v>21</v>
      </c>
      <c r="H25" s="49" t="s">
        <v>22</v>
      </c>
      <c r="I25" s="27" t="s">
        <v>23</v>
      </c>
      <c r="J25" s="49" t="s">
        <v>24</v>
      </c>
      <c r="K25" s="27" t="s">
        <v>28</v>
      </c>
      <c r="L25" s="49" t="s">
        <v>29</v>
      </c>
      <c r="M25" s="27" t="s">
        <v>30</v>
      </c>
      <c r="N25" s="49" t="s">
        <v>31</v>
      </c>
      <c r="O25" s="27" t="s">
        <v>32</v>
      </c>
      <c r="P25" s="49" t="s">
        <v>25</v>
      </c>
      <c r="Q25" s="27" t="s">
        <v>33</v>
      </c>
    </row>
    <row r="26" spans="1:17" ht="16" customHeight="1" x14ac:dyDescent="0.15">
      <c r="B26" s="20"/>
      <c r="C26" s="4" t="s">
        <v>51</v>
      </c>
      <c r="D26" s="2">
        <v>1083</v>
      </c>
      <c r="E26" s="2">
        <v>1083</v>
      </c>
      <c r="F26" s="2">
        <v>1083</v>
      </c>
      <c r="G26" s="2">
        <v>1083</v>
      </c>
      <c r="H26" s="2">
        <v>1083</v>
      </c>
      <c r="I26" s="2">
        <v>1083</v>
      </c>
      <c r="J26" s="2">
        <v>1083</v>
      </c>
      <c r="K26" s="2">
        <v>1083</v>
      </c>
      <c r="L26" s="2">
        <v>1083</v>
      </c>
      <c r="M26" s="2">
        <v>1083</v>
      </c>
      <c r="N26" s="2">
        <v>1083</v>
      </c>
      <c r="O26" s="2">
        <v>1087</v>
      </c>
      <c r="P26" s="2">
        <f>SUM(Financial[[#This Row],[January]:[December]])</f>
        <v>13000</v>
      </c>
      <c r="Q26" s="2"/>
    </row>
    <row r="27" spans="1:17" ht="16" customHeight="1" x14ac:dyDescent="0.15">
      <c r="A27" s="39" t="s">
        <v>62</v>
      </c>
      <c r="B27" s="20"/>
      <c r="C27" s="4" t="s">
        <v>62</v>
      </c>
      <c r="D27" s="2">
        <v>325</v>
      </c>
      <c r="E27" s="2">
        <v>325</v>
      </c>
      <c r="F27" s="2">
        <v>325</v>
      </c>
      <c r="G27" s="2">
        <v>325</v>
      </c>
      <c r="H27" s="2">
        <v>325</v>
      </c>
      <c r="I27" s="2">
        <v>325</v>
      </c>
      <c r="J27" s="2">
        <v>325</v>
      </c>
      <c r="K27" s="2">
        <v>325</v>
      </c>
      <c r="L27" s="2">
        <v>325</v>
      </c>
      <c r="M27" s="2">
        <v>325</v>
      </c>
      <c r="N27" s="2">
        <v>325</v>
      </c>
      <c r="O27" s="2">
        <v>325</v>
      </c>
      <c r="P27" s="2">
        <f>SUM(Financial[[#This Row],[January]:[December]])</f>
        <v>3900</v>
      </c>
      <c r="Q27" s="2"/>
    </row>
    <row r="28" spans="1:17" ht="16" customHeight="1" x14ac:dyDescent="0.15">
      <c r="B28" s="20"/>
      <c r="C28" s="4" t="s">
        <v>52</v>
      </c>
      <c r="D28" s="2">
        <v>50</v>
      </c>
      <c r="E28" s="2">
        <v>50</v>
      </c>
      <c r="F28" s="2">
        <v>0</v>
      </c>
      <c r="G28" s="2">
        <v>50</v>
      </c>
      <c r="H28" s="2">
        <v>0</v>
      </c>
      <c r="I28" s="2">
        <v>0</v>
      </c>
      <c r="J28" s="2">
        <v>50</v>
      </c>
      <c r="K28" s="2">
        <v>0</v>
      </c>
      <c r="L28" s="2">
        <v>0</v>
      </c>
      <c r="M28" s="2">
        <v>50</v>
      </c>
      <c r="N28" s="2">
        <v>0</v>
      </c>
      <c r="O28" s="2">
        <v>50</v>
      </c>
      <c r="P28" s="2">
        <f>SUM(Financial[[#This Row],[January]:[December]])</f>
        <v>300</v>
      </c>
      <c r="Q28" s="8"/>
    </row>
    <row r="29" spans="1:17" ht="16" customHeight="1" x14ac:dyDescent="0.15">
      <c r="B29" s="20"/>
      <c r="C29" s="4" t="s">
        <v>53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f>SUM(Financial[[#This Row],[January]:[December]])</f>
        <v>0</v>
      </c>
      <c r="Q29" s="2"/>
    </row>
    <row r="30" spans="1:17" ht="21" customHeight="1" thickBot="1" x14ac:dyDescent="0.2">
      <c r="B30" s="20"/>
      <c r="C30" s="29" t="s">
        <v>3</v>
      </c>
      <c r="D30" s="30">
        <f>SUM(Financial[January])</f>
        <v>1458</v>
      </c>
      <c r="E30" s="31">
        <f>SUBTOTAL(109,Financial[February])</f>
        <v>1458</v>
      </c>
      <c r="F30" s="30">
        <f>SUBTOTAL(109,Financial[March])</f>
        <v>1408</v>
      </c>
      <c r="G30" s="31">
        <f>SUBTOTAL(109,Financial[April])</f>
        <v>1458</v>
      </c>
      <c r="H30" s="30">
        <f>SUBTOTAL(109,Financial[May])</f>
        <v>1408</v>
      </c>
      <c r="I30" s="31">
        <f>SUBTOTAL(109,Financial[June])</f>
        <v>1408</v>
      </c>
      <c r="J30" s="30">
        <f>SUBTOTAL(109,Financial[July])</f>
        <v>1458</v>
      </c>
      <c r="K30" s="31">
        <f>SUBTOTAL(109,Financial[August])</f>
        <v>1408</v>
      </c>
      <c r="L30" s="30">
        <f>SUBTOTAL(109,Financial[September])</f>
        <v>1408</v>
      </c>
      <c r="M30" s="31">
        <f>SUBTOTAL(109,Financial[October])</f>
        <v>1458</v>
      </c>
      <c r="N30" s="30">
        <f>SUBTOTAL(109,Financial[November])</f>
        <v>1408</v>
      </c>
      <c r="O30" s="31">
        <f>SUBTOTAL(109,Financial[December])</f>
        <v>1462</v>
      </c>
      <c r="P30" s="30">
        <f>SUBTOTAL(109,Financial[Year])</f>
        <v>17200</v>
      </c>
      <c r="Q30" s="32"/>
    </row>
    <row r="31" spans="1:17" ht="21" customHeight="1" thickTop="1" x14ac:dyDescent="0.15">
      <c r="C31" s="42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43"/>
    </row>
    <row r="32" spans="1:17" ht="21" customHeight="1" x14ac:dyDescent="0.15">
      <c r="A32" s="39" t="s">
        <v>47</v>
      </c>
      <c r="B32" s="21"/>
      <c r="C32" s="14" t="s">
        <v>68</v>
      </c>
      <c r="D32" s="28" t="s">
        <v>26</v>
      </c>
      <c r="E32" s="27" t="s">
        <v>27</v>
      </c>
      <c r="F32" s="28" t="s">
        <v>20</v>
      </c>
      <c r="G32" s="27" t="s">
        <v>21</v>
      </c>
      <c r="H32" s="28" t="s">
        <v>22</v>
      </c>
      <c r="I32" s="27" t="s">
        <v>23</v>
      </c>
      <c r="J32" s="28" t="s">
        <v>24</v>
      </c>
      <c r="K32" s="27" t="s">
        <v>28</v>
      </c>
      <c r="L32" s="28" t="s">
        <v>29</v>
      </c>
      <c r="M32" s="27" t="s">
        <v>30</v>
      </c>
      <c r="N32" s="28" t="s">
        <v>31</v>
      </c>
      <c r="O32" s="27" t="s">
        <v>32</v>
      </c>
      <c r="P32" s="49" t="s">
        <v>25</v>
      </c>
      <c r="Q32" s="27" t="s">
        <v>33</v>
      </c>
    </row>
    <row r="33" spans="1:17" ht="16" customHeight="1" x14ac:dyDescent="0.15">
      <c r="B33" s="20"/>
      <c r="C33" s="10" t="s">
        <v>88</v>
      </c>
      <c r="D33" s="2">
        <v>30</v>
      </c>
      <c r="E33" s="2">
        <v>30</v>
      </c>
      <c r="F33" s="2">
        <v>30</v>
      </c>
      <c r="G33" s="2">
        <v>30</v>
      </c>
      <c r="H33" s="2">
        <v>30</v>
      </c>
      <c r="I33" s="2">
        <v>30</v>
      </c>
      <c r="J33" s="2">
        <v>30</v>
      </c>
      <c r="K33" s="2">
        <v>30</v>
      </c>
      <c r="L33" s="2">
        <v>30</v>
      </c>
      <c r="M33" s="2">
        <v>30</v>
      </c>
      <c r="N33" s="2">
        <v>30</v>
      </c>
      <c r="O33" s="2">
        <v>30</v>
      </c>
      <c r="P33" s="2">
        <f>SUM(DuesAndSubscription5[[#This Row],[January]:[December]])</f>
        <v>360</v>
      </c>
      <c r="Q33" s="2"/>
    </row>
    <row r="34" spans="1:17" ht="16" customHeight="1" x14ac:dyDescent="0.15">
      <c r="C34" s="23" t="s">
        <v>69</v>
      </c>
      <c r="D34" s="2">
        <v>33</v>
      </c>
      <c r="E34" s="2">
        <v>33</v>
      </c>
      <c r="F34" s="2">
        <v>33</v>
      </c>
      <c r="G34" s="2">
        <v>33</v>
      </c>
      <c r="H34" s="2">
        <v>33</v>
      </c>
      <c r="I34" s="2">
        <v>33</v>
      </c>
      <c r="J34" s="2">
        <v>33</v>
      </c>
      <c r="K34" s="2">
        <v>33</v>
      </c>
      <c r="L34" s="2">
        <v>33</v>
      </c>
      <c r="M34" s="2">
        <v>33</v>
      </c>
      <c r="N34" s="2">
        <v>33</v>
      </c>
      <c r="O34" s="2">
        <v>37</v>
      </c>
      <c r="P34" s="2">
        <f>SUM(DuesAndSubscription5[[#This Row],[January]:[December]])</f>
        <v>400</v>
      </c>
      <c r="Q34" s="2"/>
    </row>
    <row r="35" spans="1:17" ht="16" customHeight="1" x14ac:dyDescent="0.15">
      <c r="B35" s="21"/>
      <c r="C35" s="4" t="s">
        <v>70</v>
      </c>
      <c r="D35" s="2">
        <v>25</v>
      </c>
      <c r="E35" s="2">
        <v>25</v>
      </c>
      <c r="F35" s="2">
        <v>25</v>
      </c>
      <c r="G35" s="2">
        <v>25</v>
      </c>
      <c r="H35" s="2">
        <v>25</v>
      </c>
      <c r="I35" s="2">
        <v>25</v>
      </c>
      <c r="J35" s="2">
        <v>25</v>
      </c>
      <c r="K35" s="2">
        <v>25</v>
      </c>
      <c r="L35" s="2">
        <v>25</v>
      </c>
      <c r="M35" s="2">
        <v>25</v>
      </c>
      <c r="N35" s="2">
        <v>25</v>
      </c>
      <c r="O35" s="2">
        <v>25</v>
      </c>
      <c r="P35" s="2">
        <f>SUM(DuesAndSubscription5[[#This Row],[January]:[December]])</f>
        <v>300</v>
      </c>
      <c r="Q35" s="2"/>
    </row>
    <row r="36" spans="1:17" ht="21" customHeight="1" thickBot="1" x14ac:dyDescent="0.2">
      <c r="B36" s="21"/>
      <c r="C36" s="23" t="s">
        <v>71</v>
      </c>
      <c r="D36" s="2" t="s">
        <v>74</v>
      </c>
      <c r="E36" s="2" t="s">
        <v>74</v>
      </c>
      <c r="F36" s="2" t="s">
        <v>74</v>
      </c>
      <c r="G36" s="2" t="s">
        <v>74</v>
      </c>
      <c r="H36" s="2" t="s">
        <v>74</v>
      </c>
      <c r="I36" s="2" t="s">
        <v>74</v>
      </c>
      <c r="J36" s="2" t="s">
        <v>74</v>
      </c>
      <c r="K36" s="2" t="s">
        <v>74</v>
      </c>
      <c r="L36" s="2" t="s">
        <v>74</v>
      </c>
      <c r="M36" s="2" t="s">
        <v>74</v>
      </c>
      <c r="N36" s="2" t="s">
        <v>74</v>
      </c>
      <c r="O36" s="2" t="s">
        <v>74</v>
      </c>
      <c r="P36" s="2">
        <f>SUM(D37:O37)</f>
        <v>300</v>
      </c>
      <c r="Q36" s="32"/>
    </row>
    <row r="37" spans="1:17" ht="21" customHeight="1" thickTop="1" x14ac:dyDescent="0.15">
      <c r="C37" s="4" t="s">
        <v>72</v>
      </c>
      <c r="D37" s="2">
        <v>25</v>
      </c>
      <c r="E37" s="2">
        <v>25</v>
      </c>
      <c r="F37" s="2">
        <v>25</v>
      </c>
      <c r="G37" s="2">
        <v>25</v>
      </c>
      <c r="H37" s="2">
        <v>25</v>
      </c>
      <c r="I37" s="2">
        <v>25</v>
      </c>
      <c r="J37" s="2">
        <v>25</v>
      </c>
      <c r="K37" s="2">
        <v>25</v>
      </c>
      <c r="L37" s="2">
        <v>25</v>
      </c>
      <c r="M37" s="2">
        <v>25</v>
      </c>
      <c r="N37" s="2">
        <v>25</v>
      </c>
      <c r="O37" s="2">
        <v>25</v>
      </c>
      <c r="P37" s="2">
        <f>SUM(D37:O37)</f>
        <v>300</v>
      </c>
      <c r="Q37" s="43"/>
    </row>
    <row r="38" spans="1:17" ht="21" customHeight="1" x14ac:dyDescent="0.15">
      <c r="C38" s="4" t="s">
        <v>95</v>
      </c>
      <c r="D38" s="2">
        <v>30</v>
      </c>
      <c r="E38" s="2">
        <v>30</v>
      </c>
      <c r="F38" s="2">
        <v>30</v>
      </c>
      <c r="G38" s="2">
        <v>30</v>
      </c>
      <c r="H38" s="2">
        <v>30</v>
      </c>
      <c r="I38" s="2">
        <v>30</v>
      </c>
      <c r="J38" s="2">
        <v>30</v>
      </c>
      <c r="K38" s="2">
        <v>30</v>
      </c>
      <c r="L38" s="2">
        <v>30</v>
      </c>
      <c r="M38" s="2">
        <v>30</v>
      </c>
      <c r="N38" s="2">
        <v>30</v>
      </c>
      <c r="O38" s="2">
        <v>30</v>
      </c>
      <c r="P38" s="2">
        <f>SUM(D38:O38)</f>
        <v>360</v>
      </c>
      <c r="Q38" s="43"/>
    </row>
    <row r="39" spans="1:17" ht="21" customHeight="1" x14ac:dyDescent="0.15">
      <c r="C39" s="4" t="s">
        <v>59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75</v>
      </c>
      <c r="P39" s="2">
        <f t="shared" ref="P39:P40" si="0">SUM(D39:O39)</f>
        <v>75</v>
      </c>
      <c r="Q39" s="43"/>
    </row>
    <row r="40" spans="1:17" ht="21" customHeight="1" x14ac:dyDescent="0.15">
      <c r="C40" s="4" t="s">
        <v>73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700</v>
      </c>
      <c r="P40" s="2">
        <f t="shared" si="0"/>
        <v>700</v>
      </c>
      <c r="Q40" s="43"/>
    </row>
    <row r="41" spans="1:17" ht="21" customHeight="1" thickBot="1" x14ac:dyDescent="0.2">
      <c r="C41" s="42" t="s">
        <v>3</v>
      </c>
      <c r="D41" s="53">
        <f>SUM(D34:D40)</f>
        <v>113</v>
      </c>
      <c r="E41" s="55">
        <f t="shared" ref="E41:O41" si="1">SUM(E34:E40)</f>
        <v>113</v>
      </c>
      <c r="F41" s="53">
        <f t="shared" si="1"/>
        <v>113</v>
      </c>
      <c r="G41" s="55">
        <f t="shared" si="1"/>
        <v>113</v>
      </c>
      <c r="H41" s="53">
        <f t="shared" si="1"/>
        <v>113</v>
      </c>
      <c r="I41" s="55">
        <f t="shared" si="1"/>
        <v>113</v>
      </c>
      <c r="J41" s="53">
        <f t="shared" si="1"/>
        <v>113</v>
      </c>
      <c r="K41" s="55">
        <f t="shared" si="1"/>
        <v>113</v>
      </c>
      <c r="L41" s="53">
        <f t="shared" si="1"/>
        <v>113</v>
      </c>
      <c r="M41" s="55">
        <f t="shared" si="1"/>
        <v>113</v>
      </c>
      <c r="N41" s="53">
        <f t="shared" si="1"/>
        <v>113</v>
      </c>
      <c r="O41" s="55">
        <f t="shared" si="1"/>
        <v>892</v>
      </c>
      <c r="P41" s="54">
        <f>SUM(P33:P40)</f>
        <v>2795</v>
      </c>
      <c r="Q41" s="43"/>
    </row>
    <row r="42" spans="1:17" ht="20" customHeight="1" thickTop="1" x14ac:dyDescent="0.15"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</row>
    <row r="43" spans="1:17" ht="21" customHeight="1" x14ac:dyDescent="0.15">
      <c r="A43" s="39" t="s">
        <v>49</v>
      </c>
      <c r="B43" s="20"/>
      <c r="C43" s="13" t="s">
        <v>89</v>
      </c>
      <c r="D43" s="49" t="s">
        <v>26</v>
      </c>
      <c r="E43" s="48" t="s">
        <v>27</v>
      </c>
      <c r="F43" s="49" t="s">
        <v>20</v>
      </c>
      <c r="G43" s="48" t="s">
        <v>21</v>
      </c>
      <c r="H43" s="49" t="s">
        <v>22</v>
      </c>
      <c r="I43" s="27" t="s">
        <v>23</v>
      </c>
      <c r="J43" s="49" t="s">
        <v>24</v>
      </c>
      <c r="K43" s="27" t="s">
        <v>28</v>
      </c>
      <c r="L43" s="49" t="s">
        <v>29</v>
      </c>
      <c r="M43" s="27" t="s">
        <v>30</v>
      </c>
      <c r="N43" s="49" t="s">
        <v>31</v>
      </c>
      <c r="O43" s="27" t="s">
        <v>32</v>
      </c>
      <c r="P43" s="49" t="s">
        <v>25</v>
      </c>
      <c r="Q43" s="27" t="s">
        <v>33</v>
      </c>
    </row>
    <row r="44" spans="1:17" ht="16" customHeight="1" x14ac:dyDescent="0.15">
      <c r="B44" s="20"/>
      <c r="C44" s="10" t="s">
        <v>65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f>SUM(Misc[[#This Row],[January]:[December]])</f>
        <v>0</v>
      </c>
      <c r="Q44" s="8"/>
    </row>
    <row r="45" spans="1:17" ht="16" customHeight="1" x14ac:dyDescent="0.15">
      <c r="B45" s="20"/>
      <c r="C45" s="10" t="s">
        <v>66</v>
      </c>
      <c r="D45" s="2">
        <v>183</v>
      </c>
      <c r="E45" s="2">
        <v>183</v>
      </c>
      <c r="F45" s="2">
        <v>183</v>
      </c>
      <c r="G45" s="2">
        <v>183</v>
      </c>
      <c r="H45" s="2">
        <v>183</v>
      </c>
      <c r="I45" s="2">
        <v>183</v>
      </c>
      <c r="J45" s="2">
        <v>183</v>
      </c>
      <c r="K45" s="2">
        <v>183</v>
      </c>
      <c r="L45" s="2">
        <v>183</v>
      </c>
      <c r="M45" s="2">
        <v>183</v>
      </c>
      <c r="N45" s="2">
        <v>183</v>
      </c>
      <c r="O45" s="2">
        <v>187</v>
      </c>
      <c r="P45" s="2">
        <f>SUM(Misc[[#This Row],[January]:[December]])</f>
        <v>2200</v>
      </c>
      <c r="Q45" s="2"/>
    </row>
    <row r="46" spans="1:17" ht="16" customHeight="1" x14ac:dyDescent="0.15">
      <c r="B46" s="20"/>
      <c r="C46" s="10" t="s">
        <v>67</v>
      </c>
      <c r="D46" s="2">
        <v>2800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f>SUM(Misc[[#This Row],[January]:[December]])</f>
        <v>2800</v>
      </c>
      <c r="Q46" s="8"/>
    </row>
    <row r="47" spans="1:17" ht="16" customHeight="1" x14ac:dyDescent="0.15">
      <c r="B47" s="20"/>
      <c r="C47" s="10" t="s">
        <v>1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f>SUM(Misc[[#This Row],[January]:[December]])</f>
        <v>0</v>
      </c>
      <c r="Q47" s="2"/>
    </row>
    <row r="48" spans="1:17" ht="21" customHeight="1" thickBot="1" x14ac:dyDescent="0.2">
      <c r="C48" s="29" t="s">
        <v>3</v>
      </c>
      <c r="D48" s="30">
        <f>SUBTOTAL(109,Misc[January])</f>
        <v>2983</v>
      </c>
      <c r="E48" s="31">
        <f>SUBTOTAL(109,Misc[February])</f>
        <v>183</v>
      </c>
      <c r="F48" s="30">
        <f>SUBTOTAL(109,Misc[March])</f>
        <v>183</v>
      </c>
      <c r="G48" s="31">
        <f>SUBTOTAL(109,Misc[April])</f>
        <v>183</v>
      </c>
      <c r="H48" s="30">
        <f>SUBTOTAL(109,Misc[May])</f>
        <v>183</v>
      </c>
      <c r="I48" s="31">
        <f>SUBTOTAL(109,Misc[June])</f>
        <v>183</v>
      </c>
      <c r="J48" s="30">
        <f>SUBTOTAL(109,Misc[July])</f>
        <v>183</v>
      </c>
      <c r="K48" s="31">
        <f>SUBTOTAL(109,Misc[August])</f>
        <v>183</v>
      </c>
      <c r="L48" s="30">
        <f>SUBTOTAL(109,Misc[September])</f>
        <v>183</v>
      </c>
      <c r="M48" s="31">
        <f>SUBTOTAL(109,Misc[October])</f>
        <v>183</v>
      </c>
      <c r="N48" s="30">
        <f>SUBTOTAL(109,Misc[November])</f>
        <v>183</v>
      </c>
      <c r="O48" s="31">
        <f>SUBTOTAL(109,Misc[December])</f>
        <v>187</v>
      </c>
      <c r="P48" s="30">
        <f>SUBTOTAL(109,Misc[Year])</f>
        <v>5000</v>
      </c>
      <c r="Q48" s="32"/>
    </row>
    <row r="49" spans="1:18" ht="20" customHeight="1" thickTop="1" x14ac:dyDescent="0.15"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</row>
    <row r="50" spans="1:18" ht="21" hidden="1" customHeight="1" x14ac:dyDescent="0.15">
      <c r="B50" s="46"/>
      <c r="C50" s="17" t="s">
        <v>75</v>
      </c>
      <c r="D50" s="19" t="s">
        <v>76</v>
      </c>
      <c r="E50" s="18" t="s">
        <v>77</v>
      </c>
      <c r="F50" s="19" t="s">
        <v>78</v>
      </c>
      <c r="G50" s="18" t="s">
        <v>79</v>
      </c>
      <c r="H50" s="19" t="s">
        <v>80</v>
      </c>
      <c r="I50" s="18" t="s">
        <v>81</v>
      </c>
      <c r="J50" s="19" t="s">
        <v>82</v>
      </c>
      <c r="K50" s="18" t="s">
        <v>83</v>
      </c>
      <c r="L50" s="19" t="s">
        <v>84</v>
      </c>
      <c r="M50" s="18" t="s">
        <v>85</v>
      </c>
      <c r="N50" s="19" t="s">
        <v>86</v>
      </c>
      <c r="O50" s="18" t="s">
        <v>87</v>
      </c>
      <c r="P50" s="19" t="s">
        <v>91</v>
      </c>
      <c r="Q50" s="41" t="s">
        <v>92</v>
      </c>
    </row>
    <row r="51" spans="1:18" s="56" customFormat="1" ht="16" customHeight="1" x14ac:dyDescent="0.15">
      <c r="A51" s="60"/>
      <c r="B51" s="59"/>
      <c r="C51" s="57" t="s">
        <v>2</v>
      </c>
      <c r="D51" s="58">
        <f>SUM(Income[[#Totals],[January]]-Daily[[#Totals],[Column1]]-DuesAndSubscription[[#Totals],[January]]-Financial[[#Totals],[January]]-D40-Misc[[#Totals],[January]])</f>
        <v>3454</v>
      </c>
      <c r="E51" s="58">
        <f>SUM(Daily[[#Totals],[Column1]]+DuesAndSubscription[[#Totals],[January]]+Financial[[#Totals],[January]]+E41+Misc[[#Totals],[February]])</f>
        <v>2254</v>
      </c>
      <c r="F51" s="58">
        <f>SUM(Daily[[#Totals],[Column1]]+DuesAndSubscription[[#Totals],[January]]+Financial[[#Totals],[January]]+F41+Misc[[#Totals],[March]])</f>
        <v>2254</v>
      </c>
      <c r="G51" s="58">
        <f>SUM(Daily[[#Totals],[Column1]]+DuesAndSubscription[[#Totals],[January]]+Financial[[#Totals],[January]]+G41+Misc[[#Totals],[April]])</f>
        <v>2254</v>
      </c>
      <c r="H51" s="58">
        <f>SUM(Daily[[#Totals],[Column1]]+DuesAndSubscription[[#Totals],[January]]+Financial[[#Totals],[January]]+H41+Misc[[#Totals],[May]])</f>
        <v>2254</v>
      </c>
      <c r="I51" s="58">
        <f>SUM(Daily[[#Totals],[Column1]]+DuesAndSubscription[[#Totals],[January]]+Financial[[#Totals],[January]]+I41+Misc[[#Totals],[June]])</f>
        <v>2254</v>
      </c>
      <c r="J51" s="58">
        <f>SUM(Daily[[#Totals],[Column1]]+DuesAndSubscription[[#Totals],[January]]+Financial[[#Totals],[January]]+J41+Misc[[#Totals],[July]])</f>
        <v>2254</v>
      </c>
      <c r="K51" s="58">
        <f>SUM(Daily[[#Totals],[Column1]]+DuesAndSubscription[[#Totals],[January]]+Financial[[#Totals],[January]]+K41+Misc[[#Totals],[August]])</f>
        <v>2254</v>
      </c>
      <c r="L51" s="58">
        <f>SUM(Daily[[#Totals],[Column1]]+DuesAndSubscription[[#Totals],[January]]+Financial[[#Totals],[January]]+L41+Misc[[#Totals],[September]])</f>
        <v>2254</v>
      </c>
      <c r="M51" s="58">
        <f>SUM(Daily[[#Totals],[Column1]]+DuesAndSubscription[[#Totals],[January]]+Financial[[#Totals],[January]]+M41+Misc[[#Totals],[October]])</f>
        <v>2254</v>
      </c>
      <c r="N51" s="58">
        <f>SUM(Daily[[#Totals],[Column1]]+DuesAndSubscription[[#Totals],[January]]+Financial[[#Totals],[January]]+N41+Misc[[#Totals],[November]])</f>
        <v>2254</v>
      </c>
      <c r="O51" s="58">
        <f>SUM(Misc[[#Totals],[December]]+O41+Financial[[#Totals],[December]]+DuesAndSubscription[[#Totals],[December]]+Daily[[#Totals],[Column12]])</f>
        <v>3041</v>
      </c>
      <c r="P51" s="58">
        <f>SUM(Daily[[#Totals],[Column13]]+DuesAndSubscription[[#Totals],[Year]]+Financial[[#Totals],[Year]]+P41+Misc[[#Totals],[Year]])</f>
        <v>30995</v>
      </c>
      <c r="Q51" s="58"/>
    </row>
    <row r="53" spans="1:18" ht="30" customHeight="1" x14ac:dyDescent="0.15">
      <c r="C53" s="61" t="s">
        <v>93</v>
      </c>
      <c r="D53" s="62" cm="1">
        <f t="array" ref="D53">SUM(Income[[#Totals],[January]]-Totals[Column2])</f>
        <v>4941</v>
      </c>
      <c r="E53" s="62" cm="1">
        <f t="array" ref="E53">SUM(Income[[#Totals],[February]]-Totals[Column3])</f>
        <v>-154</v>
      </c>
      <c r="F53" s="62" cm="1">
        <f t="array" ref="F53">SUM(Income[[#Totals],[March]]-Totals[Column4])</f>
        <v>-154</v>
      </c>
      <c r="G53" s="62" cm="1">
        <f t="array" ref="G53">SUM(Income[[#Totals],[April]]-Totals[Column5])</f>
        <v>-154</v>
      </c>
      <c r="H53" s="62" cm="1">
        <f t="array" ref="H53">SUM(Income[[#Totals],[May]]-Totals[Column6])</f>
        <v>-154</v>
      </c>
      <c r="I53" s="62" cm="1">
        <f t="array" ref="I53">SUM(Income[[#Totals],[June]]-Totals[Column7])</f>
        <v>-154</v>
      </c>
      <c r="J53" s="62" cm="1">
        <f t="array" ref="J53">SUM(Income[[#Totals],[July]]-Totals[Column8])</f>
        <v>-154</v>
      </c>
      <c r="K53" s="62" cm="1">
        <f t="array" ref="K53">SUM(Income[[#Totals],[August]]-Totals[Column9])</f>
        <v>-154</v>
      </c>
      <c r="L53" s="62" cm="1">
        <f t="array" ref="L53">SUM(Income[[#Totals],[September]]-Totals[Column10])</f>
        <v>-154</v>
      </c>
      <c r="M53" s="62" cm="1">
        <f t="array" ref="M53">SUM(Income[[#Totals],[October]]-Totals[Column11])</f>
        <v>-154</v>
      </c>
      <c r="N53" s="62" cm="1">
        <f t="array" ref="N53">SUM(Income[[#Totals],[November]]-Totals[Column12])</f>
        <v>-154</v>
      </c>
      <c r="O53" s="62" cm="1">
        <f t="array" ref="O53">SUM(Income[[#Totals],[December]]-Totals[Column13])</f>
        <v>-941</v>
      </c>
      <c r="P53" s="62" cm="1">
        <f t="array" ref="P53">SUM(Income[[#Totals],[Year]]-Totals[Column14])</f>
        <v>500</v>
      </c>
      <c r="Q53" s="61"/>
      <c r="R53" s="61"/>
    </row>
    <row r="54" spans="1:18" ht="30" customHeight="1" x14ac:dyDescent="0.15">
      <c r="C54" s="63"/>
    </row>
  </sheetData>
  <mergeCells count="4">
    <mergeCell ref="C49:Q49"/>
    <mergeCell ref="C42:Q42"/>
    <mergeCell ref="C24:Q24"/>
    <mergeCell ref="C18:Q18"/>
  </mergeCells>
  <phoneticPr fontId="20" type="noConversion"/>
  <printOptions horizontalCentered="1"/>
  <pageMargins left="0.4" right="0.4" top="0.4" bottom="0.4" header="0.3" footer="0.3"/>
  <pageSetup scale="72" fitToHeight="0" orientation="landscape" r:id="rId1"/>
  <headerFooter differentFirst="1">
    <oddFooter>Page &amp;P of &amp;N</oddFooter>
  </headerFooter>
  <drawing r:id="rId2"/>
  <tableParts count="7">
    <tablePart r:id="rId3"/>
    <tablePart r:id="rId4"/>
    <tablePart r:id="rId5"/>
    <tablePart r:id="rId6"/>
    <tablePart r:id="rId7"/>
    <tablePart r:id="rId8"/>
    <tablePart r:id="rId9"/>
  </tablePart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high="1" low="1" xr2:uid="{00000000-0003-0000-0000-00000A000000}">
          <x14:colorSeries theme="4" tint="-0.249977111117893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'PERSONAL BUDGET'!D26:O26</xm:f>
              <xm:sqref>Q26</xm:sqref>
            </x14:sparkline>
            <x14:sparkline>
              <xm:f>'PERSONAL BUDGET'!D27:O27</xm:f>
              <xm:sqref>Q27</xm:sqref>
            </x14:sparkline>
            <x14:sparkline>
              <xm:f>'PERSONAL BUDGET'!D28:O28</xm:f>
              <xm:sqref>Q28</xm:sqref>
            </x14:sparkline>
            <x14:sparkline>
              <xm:f>'PERSONAL BUDGET'!D29:O29</xm:f>
              <xm:sqref>Q29</xm:sqref>
            </x14:sparkline>
            <x14:sparkline>
              <xm:f>'PERSONAL BUDGET'!D30:O30</xm:f>
              <xm:sqref>Q30</xm:sqref>
            </x14:sparkline>
            <x14:sparkline>
              <xm:f>'PERSONAL BUDGET'!D31:O31</xm:f>
              <xm:sqref>Q31</xm:sqref>
            </x14:sparkline>
            <x14:sparkline>
              <xm:f>'PERSONAL BUDGET'!D37:O37</xm:f>
              <xm:sqref>Q37</xm:sqref>
            </x14:sparkline>
            <x14:sparkline>
              <xm:f>'PERSONAL BUDGET'!D38:O38</xm:f>
              <xm:sqref>Q38</xm:sqref>
            </x14:sparkline>
            <x14:sparkline>
              <xm:f>'PERSONAL BUDGET'!D39:O39</xm:f>
              <xm:sqref>Q39</xm:sqref>
            </x14:sparkline>
            <x14:sparkline>
              <xm:f>'PERSONAL BUDGET'!D40:O40</xm:f>
              <xm:sqref>Q40</xm:sqref>
            </x14:sparkline>
            <x14:sparkline>
              <xm:sqref>Q41</xm:sqref>
            </x14:sparkline>
          </x14:sparklines>
        </x14:sparklineGroup>
        <x14:sparklineGroup displayEmptyCellsAs="gap" high="1" low="1" xr2:uid="{00000000-0003-0000-0000-00000D000000}">
          <x14:colorSeries theme="4" tint="-0.249977111117893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'PERSONAL BUDGET'!D33:O33</xm:f>
              <xm:sqref>Q33</xm:sqref>
            </x14:sparkline>
            <x14:sparkline>
              <xm:f>'PERSONAL BUDGET'!D44:O44</xm:f>
              <xm:sqref>Q44</xm:sqref>
            </x14:sparkline>
            <x14:sparkline>
              <xm:f>'PERSONAL BUDGET'!D45:O45</xm:f>
              <xm:sqref>Q45</xm:sqref>
            </x14:sparkline>
            <x14:sparkline>
              <xm:f>'PERSONAL BUDGET'!D46:O46</xm:f>
              <xm:sqref>Q46</xm:sqref>
            </x14:sparkline>
            <x14:sparkline>
              <xm:f>'PERSONAL BUDGET'!D47:O47</xm:f>
              <xm:sqref>Q47</xm:sqref>
            </x14:sparkline>
            <x14:sparkline>
              <xm:f>'PERSONAL BUDGET'!D48:O48</xm:f>
              <xm:sqref>Q48</xm:sqref>
            </x14:sparkline>
          </x14:sparklines>
        </x14:sparklineGroup>
        <x14:sparklineGroup displayEmptyCellsAs="gap" high="1" low="1" xr2:uid="{00000000-0003-0000-0000-000008000000}">
          <x14:colorSeries theme="4" tint="-0.249977111117893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'PERSONAL BUDGET'!D20:O20</xm:f>
              <xm:sqref>Q20</xm:sqref>
            </x14:sparkline>
            <x14:sparkline>
              <xm:f>'PERSONAL BUDGET'!D21:O21</xm:f>
              <xm:sqref>Q21</xm:sqref>
            </x14:sparkline>
            <x14:sparkline>
              <xm:f>'PERSONAL BUDGET'!D22:O22</xm:f>
              <xm:sqref>Q22</xm:sqref>
            </x14:sparkline>
            <x14:sparkline>
              <xm:f>'PERSONAL BUDGET'!D23:O23</xm:f>
              <xm:sqref>Q23</xm:sqref>
            </x14:sparkline>
          </x14:sparklines>
        </x14:sparklineGroup>
        <x14:sparklineGroup displayEmptyCellsAs="gap" high="1" low="1" xr2:uid="{00000000-0003-0000-0000-000002000000}">
          <x14:colorSeries theme="4" tint="-0.249977111117893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'PERSONAL BUDGET'!D15:O15</xm:f>
              <xm:sqref>Q15</xm:sqref>
            </x14:sparkline>
            <x14:sparkline>
              <xm:f>'PERSONAL BUDGET'!D16:O16</xm:f>
              <xm:sqref>Q16</xm:sqref>
            </x14:sparkline>
            <x14:sparkline>
              <xm:f>'PERSONAL BUDGET'!D17:O17</xm:f>
              <xm:sqref>Q17</xm:sqref>
            </x14:sparkline>
          </x14:sparklines>
        </x14:sparklineGroup>
        <x14:sparklineGroup displayEmptyCellsAs="gap" high="1" low="1" xr2:uid="{00000000-0003-0000-0000-00000C000000}">
          <x14:colorSeries theme="4" tint="-0.249977111117893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'PERSONAL BUDGET'!D6:O6</xm:f>
              <xm:sqref>Q6</xm:sqref>
            </x14:sparkline>
            <x14:sparkline>
              <xm:f>'PERSONAL BUDGET'!D7:O7</xm:f>
              <xm:sqref>Q7</xm:sqref>
            </x14:sparkline>
            <x14:sparkline>
              <xm:f>'PERSONAL BUDGET'!D8:O8</xm:f>
              <xm:sqref>Q8</xm:sqref>
            </x14:sparkline>
            <x14:sparkline>
              <xm:f>'PERSONAL BUDGET'!D9:O9</xm:f>
              <xm:sqref>Q9</xm:sqref>
            </x14:sparkline>
            <x14:sparkline>
              <xm:f>'PERSONAL BUDGET'!D10:O10</xm:f>
              <xm:sqref>Q10</xm:sqref>
            </x14:sparkline>
            <x14:sparkline>
              <xm:f>'PERSONAL BUDGET'!D11:O11</xm:f>
              <xm:sqref>Q11</xm:sqref>
            </x14:sparkline>
          </x14:sparklines>
        </x14:sparklineGroup>
        <x14:sparklineGroup displayEmptyCellsAs="gap" high="1" low="1" xr2:uid="{00000000-0003-0000-0000-00000B000000}">
          <x14:colorSeries theme="0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'PERSONAL BUDGET'!D51:O51</xm:f>
              <xm:sqref>Q51</xm:sqref>
            </x14:sparkline>
          </x14:sparklines>
        </x14:sparklineGroup>
        <x14:sparklineGroup displayEmptyCellsAs="gap" high="1" low="1" xr2:uid="{6F27F36F-C239-2E4B-9364-19EA3CBF9696}">
          <x14:colorSeries theme="4" tint="-0.249977111117893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'PERSONAL BUDGET'!D34:O34</xm:f>
              <xm:sqref>Q34</xm:sqref>
            </x14:sparkline>
            <x14:sparkline>
              <xm:f>'PERSONAL BUDGET'!D35:O35</xm:f>
              <xm:sqref>Q35</xm:sqref>
            </x14:sparkline>
            <x14:sparkline>
              <xm:f>'PERSONAL BUDGET'!D41:O41</xm:f>
              <xm:sqref>Q36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TM04035483</Templat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</vt:lpstr>
      <vt:lpstr>PERSONAL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2018-06-21T11:23:21Z</dcterms:created>
  <dcterms:modified xsi:type="dcterms:W3CDTF">2023-03-01T02:33:50Z</dcterms:modified>
</cp:coreProperties>
</file>